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ЭтаКнига" defaultThemeVersion="124226"/>
  <mc:AlternateContent xmlns:mc="http://schemas.openxmlformats.org/markup-compatibility/2006">
    <mc:Choice Requires="x15">
      <x15ac:absPath xmlns:x15ac="http://schemas.microsoft.com/office/spreadsheetml/2010/11/ac" url="F:\копия\ПВХД\"/>
    </mc:Choice>
  </mc:AlternateContent>
  <xr:revisionPtr revIDLastSave="0" documentId="8_{CF6C85BF-6F46-46A6-8FA2-49E83F3B349D}" xr6:coauthVersionLast="43" xr6:coauthVersionMax="43" xr10:uidLastSave="{00000000-0000-0000-0000-000000000000}"/>
  <bookViews>
    <workbookView xWindow="-120" yWindow="-120" windowWidth="29040" windowHeight="15990" tabRatio="903" xr2:uid="{00000000-000D-0000-FFFF-FFFF00000000}"/>
  </bookViews>
  <sheets>
    <sheet name="Титульный" sheetId="13" r:id="rId1"/>
    <sheet name="1" sheetId="7" r:id="rId2"/>
    <sheet name="2" sheetId="10" r:id="rId3"/>
    <sheet name="3-1" sheetId="12" r:id="rId4"/>
    <sheet name="3-2" sheetId="30" r:id="rId5"/>
    <sheet name="Доходы" sheetId="16" r:id="rId6"/>
    <sheet name="Расходы 111" sheetId="17" r:id="rId7"/>
    <sheet name="Расходы 112" sheetId="18" r:id="rId8"/>
    <sheet name="Расходы 119 и проч" sheetId="19" r:id="rId9"/>
    <sheet name="Расходы КФО 2" sheetId="20" r:id="rId10"/>
    <sheet name="Расходы КФО 4" sheetId="27" r:id="rId11"/>
    <sheet name="Расходы КФО 5" sheetId="28" r:id="rId12"/>
    <sheet name="Расходы 400" sheetId="21" r:id="rId13"/>
    <sheet name="Проверочная таблица" sheetId="24" r:id="rId14"/>
    <sheet name="ИСПРАВЛЕНИЯ" sheetId="29" r:id="rId15"/>
  </sheets>
  <externalReferences>
    <externalReference r:id="rId16"/>
    <externalReference r:id="rId17"/>
  </externalReferences>
  <definedNames>
    <definedName name="_xlnm._FilterDatabase" localSheetId="0" hidden="1">Титульный!$A$56:$BW$56</definedName>
    <definedName name="_xlnm.Print_Area" localSheetId="1">'1'!$A$1:$H$23</definedName>
    <definedName name="_xlnm.Print_Area" localSheetId="2">'2'!$A$1:$G$114</definedName>
    <definedName name="_xlnm.Print_Area" localSheetId="3">'3-1'!$A$1:$H$34</definedName>
    <definedName name="_xlnm.Print_Area" localSheetId="4">'3-2'!$A$35:$H$56</definedName>
    <definedName name="_xlnm.Print_Area" localSheetId="5">Доходы!$A$1:$L$126</definedName>
    <definedName name="_xlnm.Print_Area" localSheetId="6">'Расходы 111'!$A$1:$J$57</definedName>
    <definedName name="_xlnm.Print_Area" localSheetId="7">'Расходы 112'!$A$1:$O$101</definedName>
    <definedName name="_xlnm.Print_Area" localSheetId="8">'Расходы 119 и проч'!$A$1:$L$18,'Расходы 119 и проч'!$A$22:$L$40,'Расходы 119 и проч'!$A$44:$L$67,'Расходы 119 и проч'!$A$71:$L$89,'Расходы 119 и проч'!$A$93:$L$111</definedName>
    <definedName name="_xlnm.Print_Area" localSheetId="9">'Расходы КФО 2'!$A$1:$P$25,'Расходы КФО 2'!$A$27:$P$49,'Расходы КФО 2'!$A$53:$P$98,'Расходы КФО 2'!$A$102:$P$122,'Расходы КФО 2'!$A$126:$P$146,'Расходы КФО 2'!$A$150:$P$191</definedName>
    <definedName name="_xlnm.Print_Area" localSheetId="10">'Расходы КФО 4'!$A$1:$P$23,'Расходы КФО 4'!$A$27:$P$49,'Расходы КФО 4'!$A$53:$P$98,'Расходы КФО 4'!$A$102:$P$123,'Расходы КФО 4'!$A$127:$P$147,'Расходы КФО 4'!$A$151:$P$183</definedName>
    <definedName name="_xlnm.Print_Area" localSheetId="11">'Расходы КФО 5'!$A$1:$P$23,'Расходы КФО 5'!$A$27:$P$49,'Расходы КФО 5'!$A$53:$P$98,'Расходы КФО 5'!$A$102:$P$122,'Расходы КФО 5'!$A$126:$P$146,'Расходы КФО 5'!$A$150:$P$181</definedName>
    <definedName name="_xlnm.Print_Area" localSheetId="0">Титульный!$A$1:$T$185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0" i="13" l="1"/>
  <c r="G30" i="13"/>
  <c r="E30" i="13"/>
  <c r="E13" i="13" l="1"/>
  <c r="R11" i="13"/>
  <c r="E52" i="13"/>
  <c r="G93" i="13" l="1"/>
  <c r="F93" i="13"/>
  <c r="E93" i="13"/>
  <c r="G86" i="13"/>
  <c r="F86" i="13"/>
  <c r="G83" i="13"/>
  <c r="F83" i="13"/>
  <c r="E83" i="13"/>
  <c r="E82" i="13"/>
  <c r="F78" i="13"/>
  <c r="E78" i="13"/>
  <c r="E73" i="13"/>
  <c r="E68" i="13"/>
  <c r="E67" i="13"/>
  <c r="G63" i="13"/>
  <c r="F63" i="13"/>
  <c r="E63" i="13"/>
  <c r="G56" i="13"/>
  <c r="F56" i="13"/>
  <c r="E56" i="13"/>
  <c r="G126" i="13" l="1"/>
  <c r="F126" i="13"/>
  <c r="E126" i="13"/>
  <c r="G17" i="7"/>
  <c r="G171" i="13"/>
  <c r="F171" i="13"/>
  <c r="F169" i="13"/>
  <c r="E169" i="13"/>
  <c r="J16" i="17" l="1"/>
  <c r="E158" i="13" l="1"/>
  <c r="G158" i="13"/>
  <c r="F158" i="13"/>
  <c r="G52" i="13"/>
  <c r="F52" i="13"/>
  <c r="A49" i="30" l="1"/>
  <c r="R23" i="13" l="1"/>
  <c r="R136" i="13"/>
  <c r="E88" i="10"/>
  <c r="E87" i="10" s="1"/>
  <c r="O33" i="27"/>
  <c r="K33" i="27"/>
  <c r="G33" i="27"/>
  <c r="O32" i="27"/>
  <c r="K32" i="27"/>
  <c r="G32" i="27"/>
  <c r="R65" i="13"/>
  <c r="S65" i="13"/>
  <c r="T65" i="13"/>
  <c r="K35" i="20"/>
  <c r="K34" i="20"/>
  <c r="O35" i="20"/>
  <c r="O34" i="20"/>
  <c r="O33" i="20"/>
  <c r="K33" i="20"/>
  <c r="G33" i="20"/>
  <c r="O32" i="20"/>
  <c r="K32" i="20"/>
  <c r="G32" i="20"/>
  <c r="R18" i="13"/>
  <c r="S18" i="13"/>
  <c r="T18" i="13"/>
  <c r="G14" i="28"/>
  <c r="G14" i="20"/>
  <c r="G89" i="10"/>
  <c r="F89" i="10"/>
  <c r="E89" i="10"/>
  <c r="G88" i="10"/>
  <c r="G87" i="10" s="1"/>
  <c r="F88" i="10"/>
  <c r="F87" i="10" s="1"/>
  <c r="D39" i="30"/>
  <c r="F36" i="30"/>
  <c r="H10" i="30"/>
  <c r="G10" i="30"/>
  <c r="K37" i="20" l="1"/>
  <c r="O37" i="20"/>
  <c r="M135" i="27" l="1"/>
  <c r="I135" i="27"/>
  <c r="D39" i="12" l="1"/>
  <c r="G107" i="27" l="1"/>
  <c r="O58" i="27"/>
  <c r="K58" i="27"/>
  <c r="G58" i="27"/>
  <c r="C23" i="21" l="1"/>
  <c r="J20" i="21"/>
  <c r="J16" i="21"/>
  <c r="F99" i="18" l="1"/>
  <c r="K22" i="18"/>
  <c r="G22" i="18"/>
  <c r="G35" i="18"/>
  <c r="O35" i="18"/>
  <c r="K35" i="18"/>
  <c r="I35" i="18" s="1"/>
  <c r="M35" i="18" l="1"/>
  <c r="N35" i="18" s="1"/>
  <c r="J35" i="18"/>
  <c r="G23" i="18"/>
  <c r="E22" i="18"/>
  <c r="F22" i="18" s="1"/>
  <c r="E35" i="18"/>
  <c r="F35" i="18" s="1"/>
  <c r="O23" i="18"/>
  <c r="O38" i="18"/>
  <c r="K23" i="18"/>
  <c r="K38" i="18"/>
  <c r="G38" i="18"/>
  <c r="N10" i="27"/>
  <c r="M10" i="27"/>
  <c r="O8" i="27"/>
  <c r="N8" i="27" s="1"/>
  <c r="M8" i="27"/>
  <c r="J10" i="27"/>
  <c r="I10" i="27"/>
  <c r="K8" i="27"/>
  <c r="J8" i="27" s="1"/>
  <c r="I8" i="27"/>
  <c r="O10" i="27" l="1"/>
  <c r="M23" i="18"/>
  <c r="N23" i="18" s="1"/>
  <c r="K10" i="27"/>
  <c r="E23" i="18"/>
  <c r="F23" i="18" s="1"/>
  <c r="I23" i="18"/>
  <c r="J23" i="18" s="1"/>
  <c r="G8" i="27"/>
  <c r="F8" i="27" s="1"/>
  <c r="E8" i="27"/>
  <c r="L76" i="19" l="1"/>
  <c r="I76" i="19"/>
  <c r="F76" i="19"/>
  <c r="N99" i="18" l="1"/>
  <c r="L99" i="18" s="1"/>
  <c r="J99" i="18"/>
  <c r="H99" i="18" s="1"/>
  <c r="D99" i="18"/>
  <c r="G180" i="28" l="1"/>
  <c r="O22" i="18" l="1"/>
  <c r="L101" i="19"/>
  <c r="L100" i="19"/>
  <c r="L99" i="19"/>
  <c r="L98" i="19"/>
  <c r="I101" i="19"/>
  <c r="I100" i="19"/>
  <c r="I99" i="19"/>
  <c r="I98" i="19"/>
  <c r="F101" i="19"/>
  <c r="F100" i="19"/>
  <c r="F99" i="19"/>
  <c r="F98" i="19"/>
  <c r="F85" i="19"/>
  <c r="L51" i="19"/>
  <c r="I51" i="19"/>
  <c r="F51" i="19"/>
  <c r="F50" i="19"/>
  <c r="L49" i="19"/>
  <c r="I49" i="19"/>
  <c r="F49" i="19"/>
  <c r="G122" i="28" l="1"/>
  <c r="O160" i="27"/>
  <c r="K160" i="27"/>
  <c r="G160" i="27"/>
  <c r="O144" i="27"/>
  <c r="K144" i="27"/>
  <c r="G144" i="27"/>
  <c r="G110" i="27"/>
  <c r="E110" i="27"/>
  <c r="F110" i="27" s="1"/>
  <c r="O111" i="27"/>
  <c r="K111" i="27"/>
  <c r="G111" i="27"/>
  <c r="E115" i="27"/>
  <c r="F115" i="27" s="1"/>
  <c r="O113" i="27"/>
  <c r="M113" i="27" s="1"/>
  <c r="N113" i="27" s="1"/>
  <c r="K113" i="27"/>
  <c r="I113" i="27" s="1"/>
  <c r="J113" i="27" s="1"/>
  <c r="O120" i="27"/>
  <c r="N120" i="27" s="1"/>
  <c r="K120" i="27"/>
  <c r="J120" i="27" s="1"/>
  <c r="F108" i="27"/>
  <c r="F107" i="27"/>
  <c r="F76" i="27"/>
  <c r="F63" i="27"/>
  <c r="F62" i="27"/>
  <c r="F61" i="27"/>
  <c r="F60" i="27"/>
  <c r="J34" i="20" l="1"/>
  <c r="N34" i="20" s="1"/>
  <c r="J33" i="20"/>
  <c r="J33" i="27" s="1"/>
  <c r="J32" i="20"/>
  <c r="J32" i="27" s="1"/>
  <c r="N35" i="27"/>
  <c r="J35" i="27"/>
  <c r="F33" i="27"/>
  <c r="F34" i="27"/>
  <c r="F35" i="27"/>
  <c r="F32" i="27"/>
  <c r="N35" i="28"/>
  <c r="N36" i="28"/>
  <c r="J34" i="28"/>
  <c r="J35" i="28"/>
  <c r="F33" i="28"/>
  <c r="F34" i="28"/>
  <c r="F35" i="28"/>
  <c r="F32" i="28"/>
  <c r="J34" i="27" l="1"/>
  <c r="J33" i="28"/>
  <c r="N34" i="27"/>
  <c r="N34" i="28"/>
  <c r="N32" i="20"/>
  <c r="J32" i="28"/>
  <c r="N33" i="20"/>
  <c r="L85" i="19"/>
  <c r="I85" i="19"/>
  <c r="E85" i="19"/>
  <c r="D7" i="24"/>
  <c r="C7" i="24"/>
  <c r="N33" i="28" l="1"/>
  <c r="N33" i="27"/>
  <c r="N32" i="28"/>
  <c r="N32" i="27"/>
  <c r="K126" i="16" l="1"/>
  <c r="L126" i="16"/>
  <c r="J125" i="16"/>
  <c r="B16" i="24" l="1"/>
  <c r="B21" i="24"/>
  <c r="B19" i="24"/>
  <c r="O164" i="28" l="1"/>
  <c r="K164" i="28"/>
  <c r="G164" i="28"/>
  <c r="H13" i="20"/>
  <c r="O173" i="20"/>
  <c r="K173" i="20"/>
  <c r="G173" i="20"/>
  <c r="G164" i="20"/>
  <c r="R137" i="13"/>
  <c r="F16" i="30" s="1"/>
  <c r="F15" i="30" s="1"/>
  <c r="G146" i="20"/>
  <c r="E134" i="20"/>
  <c r="G122" i="20"/>
  <c r="G98" i="20"/>
  <c r="G49" i="20"/>
  <c r="G23" i="20"/>
  <c r="L89" i="19"/>
  <c r="D10" i="24" s="1"/>
  <c r="I89" i="19"/>
  <c r="C10" i="24" s="1"/>
  <c r="F89" i="19"/>
  <c r="B10" i="24" s="1"/>
  <c r="K85" i="19"/>
  <c r="J85" i="19" s="1"/>
  <c r="H85" i="19"/>
  <c r="G85" i="19" s="1"/>
  <c r="H13" i="27"/>
  <c r="E9" i="27" s="1"/>
  <c r="D85" i="19" l="1"/>
  <c r="F38" i="19"/>
  <c r="E10" i="27" l="1"/>
  <c r="I47" i="17" l="1"/>
  <c r="D15" i="17"/>
  <c r="J15" i="17" s="1"/>
  <c r="D14" i="17"/>
  <c r="D13" i="17"/>
  <c r="D12" i="17"/>
  <c r="G50" i="10"/>
  <c r="F50" i="10"/>
  <c r="E50" i="10"/>
  <c r="E98" i="10"/>
  <c r="E35" i="10"/>
  <c r="J13" i="17" l="1"/>
  <c r="J14" i="17"/>
  <c r="E15" i="17"/>
  <c r="I15" i="17" s="1"/>
  <c r="J12" i="17"/>
  <c r="A49" i="12"/>
  <c r="G15" i="17" l="1"/>
  <c r="F15" i="17"/>
  <c r="H15" i="17" s="1"/>
  <c r="O180" i="28"/>
  <c r="K180" i="28"/>
  <c r="O179" i="28"/>
  <c r="K179" i="28"/>
  <c r="G179" i="28"/>
  <c r="O178" i="28"/>
  <c r="K178" i="28"/>
  <c r="G178" i="28"/>
  <c r="O177" i="28"/>
  <c r="K177" i="28"/>
  <c r="G177" i="28"/>
  <c r="O176" i="28"/>
  <c r="K176" i="28"/>
  <c r="G176" i="28"/>
  <c r="O175" i="28"/>
  <c r="K175" i="28"/>
  <c r="G175" i="28"/>
  <c r="O174" i="28"/>
  <c r="K174" i="28"/>
  <c r="G174" i="28"/>
  <c r="O173" i="28"/>
  <c r="K173" i="28"/>
  <c r="G173" i="28"/>
  <c r="O181" i="27"/>
  <c r="K181" i="27"/>
  <c r="G181" i="27"/>
  <c r="O179" i="27"/>
  <c r="M179" i="27" s="1"/>
  <c r="K179" i="27"/>
  <c r="G179" i="27"/>
  <c r="G178" i="27"/>
  <c r="O177" i="27"/>
  <c r="K177" i="27"/>
  <c r="G177" i="27"/>
  <c r="O176" i="27"/>
  <c r="K176" i="27"/>
  <c r="G176" i="27"/>
  <c r="O175" i="27"/>
  <c r="K175" i="27"/>
  <c r="G175" i="27"/>
  <c r="G176" i="20"/>
  <c r="P181" i="28"/>
  <c r="L181" i="28"/>
  <c r="H181" i="28"/>
  <c r="P164" i="28"/>
  <c r="L164" i="28"/>
  <c r="H164" i="28"/>
  <c r="O162" i="28"/>
  <c r="K162" i="28"/>
  <c r="G162" i="28"/>
  <c r="O161" i="28"/>
  <c r="K161" i="28"/>
  <c r="G161" i="28"/>
  <c r="O160" i="28"/>
  <c r="K160" i="28"/>
  <c r="G160" i="28"/>
  <c r="O159" i="28"/>
  <c r="K159" i="28"/>
  <c r="G159" i="28"/>
  <c r="O158" i="28"/>
  <c r="K158" i="28"/>
  <c r="G158" i="28"/>
  <c r="O157" i="28"/>
  <c r="K157" i="28"/>
  <c r="G157" i="28"/>
  <c r="O156" i="28"/>
  <c r="K156" i="28"/>
  <c r="G156" i="28"/>
  <c r="O155" i="28"/>
  <c r="K155" i="28"/>
  <c r="G155" i="28"/>
  <c r="P183" i="27"/>
  <c r="L183" i="27"/>
  <c r="H183" i="27"/>
  <c r="P166" i="27"/>
  <c r="L166" i="27"/>
  <c r="H166" i="27"/>
  <c r="O164" i="27"/>
  <c r="K164" i="27"/>
  <c r="G164" i="27"/>
  <c r="O163" i="27"/>
  <c r="K163" i="27"/>
  <c r="G163" i="27"/>
  <c r="O162" i="27"/>
  <c r="K162" i="27"/>
  <c r="G162" i="27"/>
  <c r="O161" i="27"/>
  <c r="K161" i="27"/>
  <c r="G161" i="27"/>
  <c r="O159" i="27"/>
  <c r="K159" i="27"/>
  <c r="G159" i="27"/>
  <c r="O158" i="27"/>
  <c r="K158" i="27"/>
  <c r="G158" i="27"/>
  <c r="O157" i="27"/>
  <c r="K157" i="27"/>
  <c r="G157" i="27"/>
  <c r="O156" i="27"/>
  <c r="K156" i="27"/>
  <c r="G156" i="27"/>
  <c r="G181" i="28" l="1"/>
  <c r="G163" i="28"/>
  <c r="K163" i="28"/>
  <c r="O163" i="28"/>
  <c r="E173" i="28"/>
  <c r="F173" i="28" s="1"/>
  <c r="I173" i="28"/>
  <c r="J173" i="28" s="1"/>
  <c r="M173" i="28"/>
  <c r="N173" i="28" s="1"/>
  <c r="E174" i="28"/>
  <c r="F174" i="28" s="1"/>
  <c r="I174" i="28"/>
  <c r="J174" i="28" s="1"/>
  <c r="M174" i="28"/>
  <c r="N174" i="28" s="1"/>
  <c r="E175" i="28"/>
  <c r="F175" i="28" s="1"/>
  <c r="I175" i="28"/>
  <c r="J175" i="28" s="1"/>
  <c r="M175" i="28"/>
  <c r="N175" i="28" s="1"/>
  <c r="E176" i="28"/>
  <c r="F176" i="28" s="1"/>
  <c r="I176" i="28"/>
  <c r="J176" i="28" s="1"/>
  <c r="M176" i="28"/>
  <c r="N176" i="28" s="1"/>
  <c r="E177" i="28"/>
  <c r="F177" i="28" s="1"/>
  <c r="I177" i="28"/>
  <c r="J177" i="28" s="1"/>
  <c r="M177" i="28"/>
  <c r="N177" i="28" s="1"/>
  <c r="E178" i="28"/>
  <c r="F178" i="28" s="1"/>
  <c r="I178" i="28"/>
  <c r="J178" i="28" s="1"/>
  <c r="M178" i="28"/>
  <c r="N178" i="28" s="1"/>
  <c r="E179" i="28"/>
  <c r="F179" i="28" s="1"/>
  <c r="I179" i="28"/>
  <c r="J179" i="28" s="1"/>
  <c r="M179" i="28"/>
  <c r="N179" i="28" s="1"/>
  <c r="E180" i="28"/>
  <c r="F180" i="28" s="1"/>
  <c r="I180" i="28"/>
  <c r="J180" i="28" s="1"/>
  <c r="M180" i="28"/>
  <c r="N180" i="28" s="1"/>
  <c r="O181" i="28"/>
  <c r="K181" i="28"/>
  <c r="E175" i="27"/>
  <c r="F175" i="27" s="1"/>
  <c r="I175" i="27"/>
  <c r="J175" i="27" s="1"/>
  <c r="M175" i="27"/>
  <c r="N175" i="27" s="1"/>
  <c r="E176" i="27"/>
  <c r="F176" i="27" s="1"/>
  <c r="I176" i="27"/>
  <c r="J176" i="27" s="1"/>
  <c r="M176" i="27"/>
  <c r="N176" i="27" s="1"/>
  <c r="E177" i="27"/>
  <c r="F177" i="27" s="1"/>
  <c r="I177" i="27"/>
  <c r="J177" i="27" s="1"/>
  <c r="M177" i="27"/>
  <c r="N177" i="27" s="1"/>
  <c r="E178" i="27"/>
  <c r="F178" i="27" s="1"/>
  <c r="E179" i="27"/>
  <c r="F179" i="27" s="1"/>
  <c r="I179" i="27"/>
  <c r="J179" i="27" s="1"/>
  <c r="N179" i="27"/>
  <c r="E181" i="27"/>
  <c r="F181" i="27" s="1"/>
  <c r="I181" i="27"/>
  <c r="J181" i="27" s="1"/>
  <c r="M181" i="27"/>
  <c r="N181" i="27" s="1"/>
  <c r="J110" i="19"/>
  <c r="G110" i="19"/>
  <c r="D110" i="19"/>
  <c r="J109" i="19"/>
  <c r="G109" i="19"/>
  <c r="D109" i="19"/>
  <c r="L78" i="19"/>
  <c r="D14" i="24" s="1"/>
  <c r="F78" i="19"/>
  <c r="B14" i="24" s="1"/>
  <c r="N101" i="18"/>
  <c r="J101" i="18"/>
  <c r="F101" i="18"/>
  <c r="B7" i="24" s="1"/>
  <c r="F90" i="18"/>
  <c r="D12" i="18" s="1"/>
  <c r="N90" i="18"/>
  <c r="L12" i="18" s="1"/>
  <c r="J90" i="18"/>
  <c r="H12" i="18" s="1"/>
  <c r="N78" i="18"/>
  <c r="N79" i="18" s="1"/>
  <c r="L11" i="18" s="1"/>
  <c r="J78" i="18"/>
  <c r="F78" i="18"/>
  <c r="N68" i="18"/>
  <c r="N69" i="18" s="1"/>
  <c r="L10" i="18" s="1"/>
  <c r="J68" i="18"/>
  <c r="J69" i="18" s="1"/>
  <c r="H10" i="18" s="1"/>
  <c r="F68" i="18"/>
  <c r="F69" i="18" s="1"/>
  <c r="D10" i="18" s="1"/>
  <c r="N47" i="18"/>
  <c r="L7" i="18"/>
  <c r="H7" i="18"/>
  <c r="I57" i="17"/>
  <c r="I52" i="17"/>
  <c r="E52" i="17" s="1"/>
  <c r="O96" i="27"/>
  <c r="N96" i="27" s="1"/>
  <c r="K96" i="27"/>
  <c r="J96" i="27" s="1"/>
  <c r="M58" i="27"/>
  <c r="N58" i="27" s="1"/>
  <c r="I58" i="27"/>
  <c r="J58" i="27" s="1"/>
  <c r="E58" i="27"/>
  <c r="M33" i="27"/>
  <c r="O47" i="27"/>
  <c r="O46" i="27"/>
  <c r="K47" i="27"/>
  <c r="K46" i="27"/>
  <c r="G47" i="27"/>
  <c r="G46" i="27"/>
  <c r="O35" i="27"/>
  <c r="O34" i="27" s="1"/>
  <c r="K35" i="27"/>
  <c r="K34" i="27" s="1"/>
  <c r="P146" i="28"/>
  <c r="O146" i="28"/>
  <c r="L146" i="28"/>
  <c r="K146" i="28"/>
  <c r="H146" i="28"/>
  <c r="G146" i="28"/>
  <c r="P134" i="28"/>
  <c r="O134" i="28"/>
  <c r="N134" i="28"/>
  <c r="M134" i="28"/>
  <c r="L134" i="28"/>
  <c r="K134" i="28"/>
  <c r="J134" i="28"/>
  <c r="I134" i="28"/>
  <c r="H134" i="28"/>
  <c r="G134" i="28"/>
  <c r="F134" i="28"/>
  <c r="E134" i="28"/>
  <c r="P122" i="28"/>
  <c r="O122" i="28"/>
  <c r="L122" i="28"/>
  <c r="K122" i="28"/>
  <c r="H122" i="28"/>
  <c r="O118" i="28"/>
  <c r="K118" i="28"/>
  <c r="G118" i="28"/>
  <c r="O117" i="28"/>
  <c r="K117" i="28"/>
  <c r="G117" i="28"/>
  <c r="O116" i="28"/>
  <c r="K116" i="28"/>
  <c r="G116" i="28"/>
  <c r="O115" i="28"/>
  <c r="K115" i="28"/>
  <c r="G115" i="28"/>
  <c r="O114" i="28"/>
  <c r="K114" i="28"/>
  <c r="G114" i="28"/>
  <c r="O113" i="28"/>
  <c r="K113" i="28"/>
  <c r="G113" i="28"/>
  <c r="O112" i="28"/>
  <c r="K112" i="28"/>
  <c r="G112" i="28"/>
  <c r="O111" i="28"/>
  <c r="K111" i="28"/>
  <c r="G111" i="28"/>
  <c r="O110" i="28"/>
  <c r="K110" i="28"/>
  <c r="G110" i="28"/>
  <c r="O109" i="28"/>
  <c r="K109" i="28"/>
  <c r="G109" i="28"/>
  <c r="O108" i="28"/>
  <c r="K108" i="28"/>
  <c r="G108" i="28"/>
  <c r="O107" i="28"/>
  <c r="K107" i="28"/>
  <c r="G107" i="28"/>
  <c r="P98" i="28"/>
  <c r="O98" i="28"/>
  <c r="L98" i="28"/>
  <c r="K98" i="28"/>
  <c r="H98" i="28"/>
  <c r="G98" i="28"/>
  <c r="O96" i="28"/>
  <c r="K96" i="28"/>
  <c r="G96" i="28"/>
  <c r="O95" i="28"/>
  <c r="K95" i="28"/>
  <c r="G95" i="28"/>
  <c r="O94" i="28"/>
  <c r="K94" i="28"/>
  <c r="G94" i="28"/>
  <c r="O93" i="28"/>
  <c r="K93" i="28"/>
  <c r="G93" i="28"/>
  <c r="O92" i="28"/>
  <c r="K92" i="28"/>
  <c r="G92" i="28"/>
  <c r="O91" i="28"/>
  <c r="K91" i="28"/>
  <c r="G91" i="28"/>
  <c r="O90" i="28"/>
  <c r="K90" i="28"/>
  <c r="G90" i="28"/>
  <c r="O89" i="28"/>
  <c r="K89" i="28"/>
  <c r="G89" i="28"/>
  <c r="O88" i="28"/>
  <c r="K88" i="28"/>
  <c r="G88" i="28"/>
  <c r="O87" i="28"/>
  <c r="K87" i="28"/>
  <c r="G87" i="28"/>
  <c r="O86" i="28"/>
  <c r="K86" i="28"/>
  <c r="G86" i="28"/>
  <c r="O85" i="28"/>
  <c r="K85" i="28"/>
  <c r="G85" i="28"/>
  <c r="O84" i="28"/>
  <c r="K84" i="28"/>
  <c r="G84" i="28"/>
  <c r="O83" i="28"/>
  <c r="K83" i="28"/>
  <c r="G83" i="28"/>
  <c r="O82" i="28"/>
  <c r="K82" i="28"/>
  <c r="G82" i="28"/>
  <c r="O81" i="28"/>
  <c r="K81" i="28"/>
  <c r="G81" i="28"/>
  <c r="O80" i="28"/>
  <c r="K80" i="28"/>
  <c r="G80" i="28"/>
  <c r="O79" i="28"/>
  <c r="K79" i="28"/>
  <c r="G79" i="28"/>
  <c r="O78" i="28"/>
  <c r="K78" i="28"/>
  <c r="G78" i="28"/>
  <c r="O77" i="28"/>
  <c r="K77" i="28"/>
  <c r="G77" i="28"/>
  <c r="O76" i="28"/>
  <c r="K76" i="28"/>
  <c r="G76" i="28"/>
  <c r="O75" i="28"/>
  <c r="K75" i="28"/>
  <c r="G75" i="28"/>
  <c r="O74" i="28"/>
  <c r="K74" i="28"/>
  <c r="G74" i="28"/>
  <c r="O73" i="28"/>
  <c r="K73" i="28"/>
  <c r="G73" i="28"/>
  <c r="O72" i="28"/>
  <c r="K72" i="28"/>
  <c r="G72" i="28"/>
  <c r="O71" i="28"/>
  <c r="K71" i="28"/>
  <c r="G71" i="28"/>
  <c r="O70" i="28"/>
  <c r="K70" i="28"/>
  <c r="G70" i="28"/>
  <c r="O69" i="28"/>
  <c r="K69" i="28"/>
  <c r="G69" i="28"/>
  <c r="O68" i="28"/>
  <c r="K68" i="28"/>
  <c r="G68" i="28"/>
  <c r="O67" i="28"/>
  <c r="K67" i="28"/>
  <c r="G67" i="28"/>
  <c r="O66" i="28"/>
  <c r="K66" i="28"/>
  <c r="G66" i="28"/>
  <c r="O65" i="28"/>
  <c r="K65" i="28"/>
  <c r="G65" i="28"/>
  <c r="O64" i="28"/>
  <c r="K64" i="28"/>
  <c r="G64" i="28"/>
  <c r="O63" i="28"/>
  <c r="K63" i="28"/>
  <c r="G63" i="28"/>
  <c r="O62" i="28"/>
  <c r="K62" i="28"/>
  <c r="G62" i="28"/>
  <c r="O61" i="28"/>
  <c r="K61" i="28"/>
  <c r="G61" i="28"/>
  <c r="O60" i="28"/>
  <c r="K60" i="28"/>
  <c r="G60" i="28"/>
  <c r="O59" i="28"/>
  <c r="K59" i="28"/>
  <c r="G59" i="28"/>
  <c r="O58" i="28"/>
  <c r="K58" i="28"/>
  <c r="G58" i="28"/>
  <c r="P49" i="28"/>
  <c r="O49" i="28"/>
  <c r="L49" i="28"/>
  <c r="K49" i="28"/>
  <c r="H49" i="28"/>
  <c r="G49" i="28"/>
  <c r="O47" i="28"/>
  <c r="K47" i="28"/>
  <c r="G47" i="28"/>
  <c r="O46" i="28"/>
  <c r="K46" i="28"/>
  <c r="G46" i="28"/>
  <c r="P37" i="28"/>
  <c r="O37" i="28"/>
  <c r="O34" i="28" s="1"/>
  <c r="M34" i="28" s="1"/>
  <c r="L37" i="28"/>
  <c r="K37" i="28"/>
  <c r="K32" i="28" s="1"/>
  <c r="I32" i="28" s="1"/>
  <c r="H37" i="28"/>
  <c r="G37" i="28"/>
  <c r="G34" i="28" s="1"/>
  <c r="E34" i="28" s="1"/>
  <c r="P23" i="28"/>
  <c r="O23" i="28"/>
  <c r="O22" i="28" s="1"/>
  <c r="M22" i="28" s="1"/>
  <c r="N22" i="28" s="1"/>
  <c r="L23" i="28"/>
  <c r="K23" i="28"/>
  <c r="K22" i="28" s="1"/>
  <c r="I22" i="28" s="1"/>
  <c r="J22" i="28" s="1"/>
  <c r="H23" i="28"/>
  <c r="G23" i="28"/>
  <c r="G22" i="28" s="1"/>
  <c r="E22" i="28" s="1"/>
  <c r="F22" i="28" s="1"/>
  <c r="P13" i="28"/>
  <c r="L13" i="28"/>
  <c r="H13" i="28"/>
  <c r="P11" i="28"/>
  <c r="L11" i="28"/>
  <c r="H11" i="28"/>
  <c r="P10" i="28"/>
  <c r="L10" i="28"/>
  <c r="H10" i="28"/>
  <c r="P9" i="28"/>
  <c r="L9" i="28"/>
  <c r="H9" i="28"/>
  <c r="P8" i="28"/>
  <c r="L8" i="28"/>
  <c r="H8" i="28"/>
  <c r="P147" i="27"/>
  <c r="O147" i="27"/>
  <c r="L147" i="27"/>
  <c r="K147" i="27"/>
  <c r="H147" i="27"/>
  <c r="G147" i="27"/>
  <c r="P135" i="27"/>
  <c r="O135" i="27"/>
  <c r="N135" i="27"/>
  <c r="L135" i="27"/>
  <c r="K135" i="27"/>
  <c r="J135" i="27"/>
  <c r="H135" i="27"/>
  <c r="G135" i="27"/>
  <c r="M132" i="27" s="1"/>
  <c r="F135" i="27"/>
  <c r="I132" i="27" s="1"/>
  <c r="E135" i="27"/>
  <c r="E132" i="27" s="1"/>
  <c r="O119" i="27"/>
  <c r="K119" i="27"/>
  <c r="G119" i="27"/>
  <c r="O118" i="27"/>
  <c r="K118" i="27"/>
  <c r="G118" i="27"/>
  <c r="O117" i="27"/>
  <c r="K117" i="27"/>
  <c r="G117" i="27"/>
  <c r="O116" i="27"/>
  <c r="K116" i="27"/>
  <c r="G116" i="27"/>
  <c r="O115" i="27"/>
  <c r="K115" i="27"/>
  <c r="O114" i="27"/>
  <c r="K114" i="27"/>
  <c r="G114" i="27"/>
  <c r="O112" i="27"/>
  <c r="K112" i="27"/>
  <c r="G112" i="27"/>
  <c r="O110" i="27"/>
  <c r="K110" i="27"/>
  <c r="O109" i="27"/>
  <c r="K109" i="27"/>
  <c r="G109" i="27"/>
  <c r="O108" i="27"/>
  <c r="K108" i="27"/>
  <c r="O107" i="27"/>
  <c r="K107" i="27"/>
  <c r="P98" i="27"/>
  <c r="O98" i="27"/>
  <c r="L98" i="27"/>
  <c r="K98" i="27"/>
  <c r="O95" i="27"/>
  <c r="K95" i="27"/>
  <c r="G95" i="27"/>
  <c r="O94" i="27"/>
  <c r="K94" i="27"/>
  <c r="G94" i="27"/>
  <c r="O93" i="27"/>
  <c r="K93" i="27"/>
  <c r="G93" i="27"/>
  <c r="O92" i="27"/>
  <c r="K92" i="27"/>
  <c r="G92" i="27"/>
  <c r="O91" i="27"/>
  <c r="K91" i="27"/>
  <c r="G91" i="27"/>
  <c r="O90" i="27"/>
  <c r="K90" i="27"/>
  <c r="G90" i="27"/>
  <c r="O89" i="27"/>
  <c r="K89" i="27"/>
  <c r="G89" i="27"/>
  <c r="O88" i="27"/>
  <c r="K88" i="27"/>
  <c r="G88" i="27"/>
  <c r="O87" i="27"/>
  <c r="K87" i="27"/>
  <c r="G87" i="27"/>
  <c r="O86" i="27"/>
  <c r="K86" i="27"/>
  <c r="G86" i="27"/>
  <c r="O85" i="27"/>
  <c r="K85" i="27"/>
  <c r="G85" i="27"/>
  <c r="O84" i="27"/>
  <c r="K84" i="27"/>
  <c r="G84" i="27"/>
  <c r="O83" i="27"/>
  <c r="K83" i="27"/>
  <c r="G83" i="27"/>
  <c r="O82" i="27"/>
  <c r="K82" i="27"/>
  <c r="G82" i="27"/>
  <c r="O81" i="27"/>
  <c r="K81" i="27"/>
  <c r="G81" i="27"/>
  <c r="O80" i="27"/>
  <c r="K80" i="27"/>
  <c r="G80" i="27"/>
  <c r="O79" i="27"/>
  <c r="K79" i="27"/>
  <c r="G79" i="27"/>
  <c r="O78" i="27"/>
  <c r="K78" i="27"/>
  <c r="G78" i="27"/>
  <c r="O77" i="27"/>
  <c r="K77" i="27"/>
  <c r="G77" i="27"/>
  <c r="O76" i="27"/>
  <c r="K76" i="27"/>
  <c r="O75" i="27"/>
  <c r="K75" i="27"/>
  <c r="G75" i="27"/>
  <c r="O74" i="27"/>
  <c r="K74" i="27"/>
  <c r="G74" i="27"/>
  <c r="O73" i="27"/>
  <c r="K73" i="27"/>
  <c r="G73" i="27"/>
  <c r="O72" i="27"/>
  <c r="K72" i="27"/>
  <c r="G72" i="27"/>
  <c r="O71" i="27"/>
  <c r="K71" i="27"/>
  <c r="G71" i="27"/>
  <c r="O70" i="27"/>
  <c r="K70" i="27"/>
  <c r="G70" i="27"/>
  <c r="O69" i="27"/>
  <c r="K69" i="27"/>
  <c r="G69" i="27"/>
  <c r="O68" i="27"/>
  <c r="K68" i="27"/>
  <c r="G68" i="27"/>
  <c r="O67" i="27"/>
  <c r="K67" i="27"/>
  <c r="G67" i="27"/>
  <c r="O66" i="27"/>
  <c r="K66" i="27"/>
  <c r="G66" i="27"/>
  <c r="O65" i="27"/>
  <c r="K65" i="27"/>
  <c r="G65" i="27"/>
  <c r="O64" i="27"/>
  <c r="K64" i="27"/>
  <c r="G64" i="27"/>
  <c r="O63" i="27"/>
  <c r="K63" i="27"/>
  <c r="O62" i="27"/>
  <c r="K62" i="27"/>
  <c r="O61" i="27"/>
  <c r="K61" i="27"/>
  <c r="O60" i="27"/>
  <c r="K60" i="27"/>
  <c r="O59" i="27"/>
  <c r="K59" i="27"/>
  <c r="G59" i="27"/>
  <c r="P49" i="27"/>
  <c r="O49" i="27"/>
  <c r="L49" i="27"/>
  <c r="K49" i="27"/>
  <c r="H49" i="27"/>
  <c r="G49" i="27"/>
  <c r="I33" i="27"/>
  <c r="P23" i="27"/>
  <c r="O23" i="27"/>
  <c r="O22" i="27" s="1"/>
  <c r="M22" i="27" s="1"/>
  <c r="N22" i="27" s="1"/>
  <c r="L23" i="27"/>
  <c r="K23" i="27"/>
  <c r="K22" i="27" s="1"/>
  <c r="I22" i="27" s="1"/>
  <c r="J22" i="27" s="1"/>
  <c r="H23" i="27"/>
  <c r="G23" i="27"/>
  <c r="G22" i="27" s="1"/>
  <c r="P13" i="27"/>
  <c r="M9" i="27" s="1"/>
  <c r="P9" i="27" s="1"/>
  <c r="P12" i="27" s="1"/>
  <c r="N12" i="27" s="1"/>
  <c r="O12" i="27" s="1"/>
  <c r="L13" i="27"/>
  <c r="I9" i="27" s="1"/>
  <c r="L9" i="27" s="1"/>
  <c r="L12" i="27" s="1"/>
  <c r="J12" i="27" s="1"/>
  <c r="K12" i="27" s="1"/>
  <c r="O120" i="20"/>
  <c r="O119" i="20"/>
  <c r="K120" i="20"/>
  <c r="K119" i="20"/>
  <c r="O118" i="20"/>
  <c r="O117" i="20"/>
  <c r="O116" i="20"/>
  <c r="O115" i="20"/>
  <c r="O114" i="20"/>
  <c r="O113" i="20"/>
  <c r="O112" i="20"/>
  <c r="O111" i="20"/>
  <c r="O110" i="20"/>
  <c r="O109" i="20"/>
  <c r="O108" i="20"/>
  <c r="O107" i="20"/>
  <c r="K118" i="20"/>
  <c r="K117" i="20"/>
  <c r="K116" i="20"/>
  <c r="K115" i="20"/>
  <c r="K114" i="20"/>
  <c r="K113" i="20"/>
  <c r="K112" i="20"/>
  <c r="K111" i="20"/>
  <c r="K110" i="20"/>
  <c r="K109" i="20"/>
  <c r="K108" i="20"/>
  <c r="K107" i="20"/>
  <c r="G108" i="20"/>
  <c r="G109" i="20"/>
  <c r="G110" i="20"/>
  <c r="G111" i="20"/>
  <c r="G112" i="20"/>
  <c r="G113" i="20"/>
  <c r="G114" i="20"/>
  <c r="G115" i="20"/>
  <c r="G116" i="20"/>
  <c r="G117" i="20"/>
  <c r="G118" i="20"/>
  <c r="G107" i="20"/>
  <c r="I32" i="20"/>
  <c r="P12" i="20"/>
  <c r="P11" i="20"/>
  <c r="P10" i="20"/>
  <c r="P9" i="20"/>
  <c r="L12" i="20"/>
  <c r="L11" i="20"/>
  <c r="L10" i="20"/>
  <c r="L9" i="20"/>
  <c r="H10" i="20"/>
  <c r="H11" i="20"/>
  <c r="H12" i="20"/>
  <c r="H9" i="20"/>
  <c r="O96" i="20"/>
  <c r="O95" i="20"/>
  <c r="O94" i="20"/>
  <c r="O93" i="20"/>
  <c r="O92" i="20"/>
  <c r="O91" i="20"/>
  <c r="O90" i="20"/>
  <c r="O89" i="20"/>
  <c r="O88" i="20"/>
  <c r="O87" i="20"/>
  <c r="O86" i="20"/>
  <c r="O85" i="20"/>
  <c r="O84" i="20"/>
  <c r="O83" i="20"/>
  <c r="O82" i="20"/>
  <c r="O81" i="20"/>
  <c r="O80" i="20"/>
  <c r="O79" i="20"/>
  <c r="O78" i="20"/>
  <c r="O77" i="20"/>
  <c r="O76" i="20"/>
  <c r="O75" i="20"/>
  <c r="O74" i="20"/>
  <c r="O73" i="20"/>
  <c r="O72" i="20"/>
  <c r="O71" i="20"/>
  <c r="O70" i="20"/>
  <c r="O69" i="20"/>
  <c r="O68" i="20"/>
  <c r="O67" i="20"/>
  <c r="O66" i="20"/>
  <c r="O65" i="20"/>
  <c r="O64" i="20"/>
  <c r="O63" i="20"/>
  <c r="O62" i="20"/>
  <c r="O61" i="20"/>
  <c r="O60" i="20"/>
  <c r="O59" i="20"/>
  <c r="O58" i="20"/>
  <c r="K96" i="20"/>
  <c r="K95" i="20"/>
  <c r="K94" i="20"/>
  <c r="K93" i="20"/>
  <c r="K92" i="20"/>
  <c r="K91" i="20"/>
  <c r="K90" i="20"/>
  <c r="K89" i="20"/>
  <c r="K88" i="20"/>
  <c r="K87" i="20"/>
  <c r="K86" i="20"/>
  <c r="K85" i="20"/>
  <c r="K84" i="20"/>
  <c r="K83" i="20"/>
  <c r="K82" i="20"/>
  <c r="K81" i="20"/>
  <c r="K80" i="20"/>
  <c r="K79" i="20"/>
  <c r="K78" i="20"/>
  <c r="K77" i="20"/>
  <c r="K76" i="20"/>
  <c r="K75" i="20"/>
  <c r="K74" i="20"/>
  <c r="K73" i="20"/>
  <c r="K72" i="20"/>
  <c r="K71" i="20"/>
  <c r="K70" i="20"/>
  <c r="K69" i="20"/>
  <c r="K68" i="20"/>
  <c r="K67" i="20"/>
  <c r="K66" i="20"/>
  <c r="K65" i="20"/>
  <c r="K64" i="20"/>
  <c r="K63" i="20"/>
  <c r="K62" i="20"/>
  <c r="K61" i="20"/>
  <c r="K60" i="20"/>
  <c r="K59" i="20"/>
  <c r="K58" i="20"/>
  <c r="G59" i="20"/>
  <c r="G60" i="20"/>
  <c r="G61" i="20"/>
  <c r="G62" i="20"/>
  <c r="G63" i="20"/>
  <c r="G64" i="20"/>
  <c r="G65" i="20"/>
  <c r="G66" i="20"/>
  <c r="G67" i="20"/>
  <c r="G68" i="20"/>
  <c r="G69" i="20"/>
  <c r="G70" i="20"/>
  <c r="G71" i="20"/>
  <c r="G72" i="20"/>
  <c r="G73" i="20"/>
  <c r="G74" i="20"/>
  <c r="G75" i="20"/>
  <c r="G76" i="20"/>
  <c r="G77" i="20"/>
  <c r="G78" i="20"/>
  <c r="G79" i="20"/>
  <c r="G80" i="20"/>
  <c r="G81" i="20"/>
  <c r="G82" i="20"/>
  <c r="G83" i="20"/>
  <c r="G84" i="20"/>
  <c r="G85" i="20"/>
  <c r="G86" i="20"/>
  <c r="G87" i="20"/>
  <c r="G88" i="20"/>
  <c r="G89" i="20"/>
  <c r="G90" i="20"/>
  <c r="G91" i="20"/>
  <c r="G92" i="20"/>
  <c r="G93" i="20"/>
  <c r="G94" i="20"/>
  <c r="G95" i="20"/>
  <c r="G96" i="20"/>
  <c r="G58" i="20"/>
  <c r="O156" i="20"/>
  <c r="O157" i="20"/>
  <c r="O158" i="20"/>
  <c r="O159" i="20"/>
  <c r="O160" i="20"/>
  <c r="O161" i="20"/>
  <c r="O162" i="20"/>
  <c r="O155" i="20"/>
  <c r="K156" i="20"/>
  <c r="K157" i="20"/>
  <c r="K158" i="20"/>
  <c r="K159" i="20"/>
  <c r="K160" i="20"/>
  <c r="K161" i="20"/>
  <c r="K162" i="20"/>
  <c r="K155" i="20"/>
  <c r="G156" i="20"/>
  <c r="G157" i="20"/>
  <c r="G158" i="20"/>
  <c r="G159" i="20"/>
  <c r="G160" i="20"/>
  <c r="G161" i="20"/>
  <c r="G162" i="20"/>
  <c r="G155" i="20"/>
  <c r="E173" i="20"/>
  <c r="F173" i="20" s="1"/>
  <c r="P191" i="20"/>
  <c r="L191" i="20"/>
  <c r="H191" i="20"/>
  <c r="O174" i="20"/>
  <c r="M174" i="20" s="1"/>
  <c r="N174" i="20" s="1"/>
  <c r="O175" i="20"/>
  <c r="M175" i="20" s="1"/>
  <c r="N175" i="20" s="1"/>
  <c r="O176" i="20"/>
  <c r="O177" i="20"/>
  <c r="M177" i="20" s="1"/>
  <c r="N177" i="20" s="1"/>
  <c r="O178" i="20"/>
  <c r="M178" i="20" s="1"/>
  <c r="N178" i="20" s="1"/>
  <c r="O179" i="20"/>
  <c r="M179" i="20" s="1"/>
  <c r="N179" i="20" s="1"/>
  <c r="O180" i="20"/>
  <c r="M180" i="20" s="1"/>
  <c r="N180" i="20" s="1"/>
  <c r="K174" i="20"/>
  <c r="I174" i="20" s="1"/>
  <c r="J174" i="20" s="1"/>
  <c r="K175" i="20"/>
  <c r="I175" i="20" s="1"/>
  <c r="J175" i="20" s="1"/>
  <c r="K176" i="20"/>
  <c r="I176" i="20" s="1"/>
  <c r="J176" i="20" s="1"/>
  <c r="K177" i="20"/>
  <c r="I177" i="20" s="1"/>
  <c r="J177" i="20" s="1"/>
  <c r="K178" i="20"/>
  <c r="I178" i="20" s="1"/>
  <c r="J178" i="20" s="1"/>
  <c r="K179" i="20"/>
  <c r="I179" i="20" s="1"/>
  <c r="J179" i="20" s="1"/>
  <c r="K180" i="20"/>
  <c r="I180" i="20" s="1"/>
  <c r="J180" i="20" s="1"/>
  <c r="G174" i="20"/>
  <c r="G175" i="20"/>
  <c r="G177" i="20"/>
  <c r="G179" i="20"/>
  <c r="G180" i="20"/>
  <c r="I173" i="20"/>
  <c r="J173" i="20" s="1"/>
  <c r="P164" i="20"/>
  <c r="O164" i="20"/>
  <c r="L164" i="20"/>
  <c r="K164" i="20"/>
  <c r="H164" i="20"/>
  <c r="P146" i="20"/>
  <c r="O146" i="20"/>
  <c r="L146" i="20"/>
  <c r="K146" i="20"/>
  <c r="H146" i="20"/>
  <c r="P134" i="20"/>
  <c r="O134" i="20"/>
  <c r="N134" i="20"/>
  <c r="M134" i="20"/>
  <c r="L134" i="20"/>
  <c r="K134" i="20"/>
  <c r="J134" i="20"/>
  <c r="I134" i="20"/>
  <c r="H134" i="20"/>
  <c r="G134" i="20"/>
  <c r="F134" i="20"/>
  <c r="G120" i="20"/>
  <c r="G119" i="20"/>
  <c r="P122" i="20"/>
  <c r="O122" i="20"/>
  <c r="L122" i="20"/>
  <c r="K122" i="20"/>
  <c r="H122" i="20"/>
  <c r="P98" i="20"/>
  <c r="O98" i="20"/>
  <c r="L98" i="20"/>
  <c r="K98" i="20"/>
  <c r="H98" i="20"/>
  <c r="O47" i="20"/>
  <c r="O46" i="20"/>
  <c r="K47" i="20"/>
  <c r="K46" i="20"/>
  <c r="G47" i="20"/>
  <c r="G46" i="20"/>
  <c r="P49" i="20"/>
  <c r="O49" i="20"/>
  <c r="L49" i="20"/>
  <c r="K49" i="20"/>
  <c r="H49" i="20"/>
  <c r="P37" i="20"/>
  <c r="M32" i="20"/>
  <c r="L37" i="20"/>
  <c r="P23" i="20"/>
  <c r="O23" i="20"/>
  <c r="O22" i="20" s="1"/>
  <c r="M22" i="20" s="1"/>
  <c r="N22" i="20" s="1"/>
  <c r="L23" i="20"/>
  <c r="K23" i="20"/>
  <c r="K22" i="20" s="1"/>
  <c r="I22" i="20" s="1"/>
  <c r="J22" i="20" s="1"/>
  <c r="P13" i="20"/>
  <c r="L13" i="20"/>
  <c r="H23" i="20"/>
  <c r="G22" i="20"/>
  <c r="G121" i="28" l="1"/>
  <c r="G48" i="27"/>
  <c r="O48" i="27"/>
  <c r="G97" i="28"/>
  <c r="K121" i="28"/>
  <c r="M176" i="20"/>
  <c r="N176" i="20" s="1"/>
  <c r="O121" i="28"/>
  <c r="E22" i="27"/>
  <c r="F22" i="27" s="1"/>
  <c r="E174" i="20"/>
  <c r="F174" i="20" s="1"/>
  <c r="H76" i="19"/>
  <c r="G76" i="19" s="1"/>
  <c r="I78" i="19"/>
  <c r="C14" i="24" s="1"/>
  <c r="G48" i="28"/>
  <c r="J79" i="18"/>
  <c r="H11" i="18" s="1"/>
  <c r="H78" i="18"/>
  <c r="I78" i="18" s="1"/>
  <c r="F79" i="18"/>
  <c r="D11" i="18" s="1"/>
  <c r="D78" i="18"/>
  <c r="E78" i="18" s="1"/>
  <c r="E22" i="20"/>
  <c r="F22" i="20" s="1"/>
  <c r="P12" i="28"/>
  <c r="O97" i="27"/>
  <c r="K97" i="27"/>
  <c r="O191" i="20"/>
  <c r="E76" i="19"/>
  <c r="D76" i="19" s="1"/>
  <c r="L8" i="20"/>
  <c r="J8" i="20" s="1"/>
  <c r="K48" i="20"/>
  <c r="K97" i="20"/>
  <c r="K163" i="20"/>
  <c r="I33" i="20"/>
  <c r="K97" i="28"/>
  <c r="F58" i="27"/>
  <c r="P8" i="20"/>
  <c r="N8" i="20" s="1"/>
  <c r="I34" i="20"/>
  <c r="L12" i="28"/>
  <c r="M33" i="20"/>
  <c r="O48" i="28"/>
  <c r="M34" i="20"/>
  <c r="K191" i="20"/>
  <c r="M173" i="20"/>
  <c r="N173" i="20" s="1"/>
  <c r="O163" i="20"/>
  <c r="K121" i="20"/>
  <c r="O121" i="20"/>
  <c r="O33" i="28"/>
  <c r="M33" i="28" s="1"/>
  <c r="D111" i="19"/>
  <c r="B12" i="24" s="1"/>
  <c r="G111" i="19"/>
  <c r="C12" i="24" s="1"/>
  <c r="J111" i="19"/>
  <c r="D12" i="24" s="1"/>
  <c r="E180" i="20"/>
  <c r="F180" i="20" s="1"/>
  <c r="E176" i="20"/>
  <c r="F176" i="20" s="1"/>
  <c r="E177" i="20"/>
  <c r="F177" i="20" s="1"/>
  <c r="G163" i="20"/>
  <c r="H8" i="20"/>
  <c r="F8" i="20" s="1"/>
  <c r="E175" i="20"/>
  <c r="F175" i="20" s="1"/>
  <c r="E179" i="20"/>
  <c r="F179" i="20" s="1"/>
  <c r="G33" i="28"/>
  <c r="E33" i="28" s="1"/>
  <c r="G52" i="17"/>
  <c r="K34" i="28"/>
  <c r="I34" i="28" s="1"/>
  <c r="K48" i="28"/>
  <c r="H12" i="28"/>
  <c r="O97" i="28"/>
  <c r="I32" i="27"/>
  <c r="E33" i="27"/>
  <c r="K48" i="27"/>
  <c r="G32" i="28"/>
  <c r="O32" i="28"/>
  <c r="K33" i="28"/>
  <c r="I33" i="28" s="1"/>
  <c r="I35" i="27"/>
  <c r="O97" i="20"/>
  <c r="G97" i="20"/>
  <c r="G48" i="20"/>
  <c r="O48" i="20"/>
  <c r="G121" i="20"/>
  <c r="M34" i="27" l="1"/>
  <c r="O37" i="27"/>
  <c r="I34" i="27"/>
  <c r="K37" i="27"/>
  <c r="I35" i="20"/>
  <c r="F10" i="27"/>
  <c r="M35" i="20"/>
  <c r="M32" i="28"/>
  <c r="O35" i="28"/>
  <c r="M35" i="28" s="1"/>
  <c r="E32" i="28"/>
  <c r="G35" i="28"/>
  <c r="E35" i="28" s="1"/>
  <c r="K35" i="28"/>
  <c r="I35" i="28" s="1"/>
  <c r="M32" i="27"/>
  <c r="M35" i="27"/>
  <c r="E32" i="27"/>
  <c r="F18" i="19"/>
  <c r="L38" i="19"/>
  <c r="I38" i="19"/>
  <c r="L50" i="19"/>
  <c r="I50" i="19"/>
  <c r="D49" i="19"/>
  <c r="E49" i="19" s="1"/>
  <c r="J19" i="16"/>
  <c r="J21" i="16" s="1"/>
  <c r="B8" i="24" l="1"/>
  <c r="L34" i="19"/>
  <c r="L32" i="19"/>
  <c r="L28" i="19"/>
  <c r="K28" i="19" s="1"/>
  <c r="K32" i="19" s="1"/>
  <c r="I34" i="19"/>
  <c r="I32" i="19"/>
  <c r="I28" i="19"/>
  <c r="I27" i="19" s="1"/>
  <c r="D50" i="19"/>
  <c r="E50" i="19" s="1"/>
  <c r="G10" i="27"/>
  <c r="F52" i="19"/>
  <c r="B9" i="24" s="1"/>
  <c r="F28" i="19"/>
  <c r="F27" i="19" s="1"/>
  <c r="F34" i="19"/>
  <c r="F32" i="19"/>
  <c r="L52" i="19"/>
  <c r="D9" i="24" s="1"/>
  <c r="I52" i="19"/>
  <c r="C9" i="24" s="1"/>
  <c r="H100" i="19"/>
  <c r="G100" i="19" s="1"/>
  <c r="H98" i="19"/>
  <c r="G98" i="19" s="1"/>
  <c r="L66" i="19"/>
  <c r="J66" i="19" s="1"/>
  <c r="I66" i="19"/>
  <c r="G66" i="19" s="1"/>
  <c r="F66" i="19"/>
  <c r="D66" i="19" s="1"/>
  <c r="L65" i="19"/>
  <c r="J65" i="19" s="1"/>
  <c r="I65" i="19"/>
  <c r="G65" i="19" s="1"/>
  <c r="F65" i="19"/>
  <c r="D65" i="19" s="1"/>
  <c r="L31" i="19" l="1"/>
  <c r="E100" i="19"/>
  <c r="D100" i="19" s="1"/>
  <c r="H99" i="19"/>
  <c r="G99" i="19" s="1"/>
  <c r="K99" i="19"/>
  <c r="J99" i="19" s="1"/>
  <c r="E98" i="19"/>
  <c r="D98" i="19" s="1"/>
  <c r="K98" i="19"/>
  <c r="J98" i="19" s="1"/>
  <c r="E99" i="19"/>
  <c r="D99" i="19" s="1"/>
  <c r="H101" i="19"/>
  <c r="G101" i="19" s="1"/>
  <c r="K101" i="19"/>
  <c r="J101" i="19" s="1"/>
  <c r="E101" i="19"/>
  <c r="D101" i="19" s="1"/>
  <c r="K100" i="19"/>
  <c r="J100" i="19" s="1"/>
  <c r="E28" i="19"/>
  <c r="E37" i="19" s="1"/>
  <c r="I31" i="19"/>
  <c r="I37" i="19" s="1"/>
  <c r="K37" i="19"/>
  <c r="H28" i="19"/>
  <c r="F31" i="19"/>
  <c r="F37" i="19" s="1"/>
  <c r="L27" i="19"/>
  <c r="L37" i="19" s="1"/>
  <c r="K34" i="19"/>
  <c r="L102" i="19"/>
  <c r="D15" i="24" s="1"/>
  <c r="F102" i="19"/>
  <c r="B15" i="24" s="1"/>
  <c r="I102" i="19"/>
  <c r="C15" i="24" s="1"/>
  <c r="I67" i="19"/>
  <c r="C13" i="24" s="1"/>
  <c r="F67" i="19"/>
  <c r="B13" i="24" s="1"/>
  <c r="L67" i="19"/>
  <c r="D13" i="24" s="1"/>
  <c r="E32" i="19" l="1"/>
  <c r="E34" i="19"/>
  <c r="H34" i="19"/>
  <c r="H32" i="19"/>
  <c r="H37" i="19"/>
  <c r="O58" i="18"/>
  <c r="L58" i="18" s="1"/>
  <c r="M58" i="18" s="1"/>
  <c r="K58" i="18"/>
  <c r="H58" i="18" s="1"/>
  <c r="I58" i="18" s="1"/>
  <c r="G58" i="18"/>
  <c r="L47" i="18"/>
  <c r="M47" i="18" s="1"/>
  <c r="J47" i="18"/>
  <c r="F48" i="18"/>
  <c r="F47" i="18"/>
  <c r="M22" i="18" l="1"/>
  <c r="N22" i="18" s="1"/>
  <c r="I22" i="18"/>
  <c r="J22" i="18" s="1"/>
  <c r="D48" i="18"/>
  <c r="E48" i="18" s="1"/>
  <c r="F49" i="18"/>
  <c r="D8" i="18" s="1"/>
  <c r="H47" i="18"/>
  <c r="I47" i="18" s="1"/>
  <c r="O59" i="18"/>
  <c r="L9" i="18" s="1"/>
  <c r="K26" i="18"/>
  <c r="H6" i="18" s="1"/>
  <c r="D47" i="18"/>
  <c r="E47" i="18" s="1"/>
  <c r="K59" i="18"/>
  <c r="H9" i="18" s="1"/>
  <c r="G26" i="18"/>
  <c r="D6" i="18" s="1"/>
  <c r="O26" i="18"/>
  <c r="L6" i="18" s="1"/>
  <c r="G59" i="18"/>
  <c r="D9" i="18" s="1"/>
  <c r="D58" i="18"/>
  <c r="E58" i="18" s="1"/>
  <c r="D7" i="18"/>
  <c r="A2" i="17"/>
  <c r="G86" i="16"/>
  <c r="J86" i="16"/>
  <c r="D86" i="16"/>
  <c r="K19" i="16"/>
  <c r="K21" i="16" s="1"/>
  <c r="L19" i="16"/>
  <c r="L21" i="16" s="1"/>
  <c r="D57" i="16"/>
  <c r="I57" i="16"/>
  <c r="F57" i="16" s="1"/>
  <c r="H57" i="16"/>
  <c r="E57" i="16" s="1"/>
  <c r="K56" i="16"/>
  <c r="K62" i="16" s="1"/>
  <c r="G32" i="16" s="1"/>
  <c r="L56" i="16"/>
  <c r="L62" i="16" s="1"/>
  <c r="J32" i="16" s="1"/>
  <c r="J56" i="16"/>
  <c r="J62" i="16" s="1"/>
  <c r="D32" i="16" s="1"/>
  <c r="K115" i="16"/>
  <c r="K116" i="16" s="1"/>
  <c r="L115" i="16"/>
  <c r="L116" i="16" s="1"/>
  <c r="J115" i="16"/>
  <c r="J116" i="16" s="1"/>
  <c r="G71" i="16"/>
  <c r="G73" i="16" s="1"/>
  <c r="J71" i="16"/>
  <c r="J73" i="16" s="1"/>
  <c r="D71" i="16"/>
  <c r="D73" i="16" s="1"/>
  <c r="G82" i="16"/>
  <c r="G88" i="16" s="1"/>
  <c r="J82" i="16"/>
  <c r="J88" i="16" s="1"/>
  <c r="D82" i="16"/>
  <c r="D88" i="16" s="1"/>
  <c r="J92" i="16"/>
  <c r="G92" i="16"/>
  <c r="G126" i="16"/>
  <c r="J126" i="16"/>
  <c r="D126" i="16"/>
  <c r="K47" i="16"/>
  <c r="G31" i="16" s="1"/>
  <c r="L47" i="16"/>
  <c r="J31" i="16" s="1"/>
  <c r="J47" i="16"/>
  <c r="D31" i="16" s="1"/>
  <c r="J33" i="16"/>
  <c r="G33" i="16"/>
  <c r="D33" i="16"/>
  <c r="G93" i="16" l="1"/>
  <c r="D13" i="18"/>
  <c r="B6" i="24" s="1"/>
  <c r="D25" i="17"/>
  <c r="D36" i="17"/>
  <c r="D35" i="17"/>
  <c r="D24" i="17"/>
  <c r="D37" i="17"/>
  <c r="D26" i="17"/>
  <c r="J93" i="16"/>
  <c r="G34" i="27" l="1"/>
  <c r="G35" i="27"/>
  <c r="E35" i="27"/>
  <c r="D92" i="16"/>
  <c r="D93" i="16" s="1"/>
  <c r="H98" i="27"/>
  <c r="G98" i="27"/>
  <c r="G96" i="27"/>
  <c r="F96" i="27" s="1"/>
  <c r="G178" i="20"/>
  <c r="G191" i="20" s="1"/>
  <c r="D23" i="17"/>
  <c r="D27" i="17" s="1"/>
  <c r="H68" i="18" s="1"/>
  <c r="I68" i="18" s="1"/>
  <c r="D34" i="17"/>
  <c r="D38" i="17" s="1"/>
  <c r="L68" i="18" s="1"/>
  <c r="M68" i="18" s="1"/>
  <c r="D16" i="17"/>
  <c r="F10" i="30"/>
  <c r="R144" i="13"/>
  <c r="R141" i="13"/>
  <c r="R143" i="13" s="1"/>
  <c r="T140" i="13"/>
  <c r="S140" i="13"/>
  <c r="R140" i="13"/>
  <c r="T139" i="13"/>
  <c r="S139" i="13"/>
  <c r="R139" i="13"/>
  <c r="T138" i="13"/>
  <c r="S138" i="13"/>
  <c r="R138" i="13"/>
  <c r="T137" i="13"/>
  <c r="H16" i="30" s="1"/>
  <c r="H15" i="30" s="1"/>
  <c r="S137" i="13"/>
  <c r="G16" i="30" s="1"/>
  <c r="G15" i="30" s="1"/>
  <c r="T136" i="13"/>
  <c r="S136" i="13"/>
  <c r="T135" i="13"/>
  <c r="S135" i="13"/>
  <c r="R135" i="13"/>
  <c r="T134" i="13"/>
  <c r="S134" i="13"/>
  <c r="R134" i="13"/>
  <c r="T133" i="13"/>
  <c r="S133" i="13"/>
  <c r="R133" i="13"/>
  <c r="T132" i="13"/>
  <c r="S132" i="13"/>
  <c r="R132" i="13"/>
  <c r="T131" i="13"/>
  <c r="S131" i="13"/>
  <c r="R131" i="13"/>
  <c r="O182" i="27"/>
  <c r="M182" i="27" s="1"/>
  <c r="N182" i="27" s="1"/>
  <c r="K182" i="27"/>
  <c r="I182" i="27" s="1"/>
  <c r="J182" i="27" s="1"/>
  <c r="G182" i="27"/>
  <c r="E182" i="27" s="1"/>
  <c r="F182" i="27" s="1"/>
  <c r="O180" i="27"/>
  <c r="M180" i="27" s="1"/>
  <c r="N180" i="27" s="1"/>
  <c r="K180" i="27"/>
  <c r="I180" i="27" s="1"/>
  <c r="J180" i="27" s="1"/>
  <c r="G180" i="27"/>
  <c r="O178" i="27"/>
  <c r="K178" i="27"/>
  <c r="O166" i="27"/>
  <c r="O165" i="27" s="1"/>
  <c r="K166" i="27"/>
  <c r="K165" i="27" s="1"/>
  <c r="G166" i="27"/>
  <c r="G165" i="27" s="1"/>
  <c r="E165" i="27" s="1"/>
  <c r="F165" i="27" s="1"/>
  <c r="G113" i="27"/>
  <c r="E113" i="27" s="1"/>
  <c r="F113" i="27" s="1"/>
  <c r="O121" i="27"/>
  <c r="M121" i="27" s="1"/>
  <c r="N121" i="27" s="1"/>
  <c r="K121" i="27"/>
  <c r="I121" i="27" s="1"/>
  <c r="J121" i="27" s="1"/>
  <c r="G121" i="27"/>
  <c r="E121" i="27" s="1"/>
  <c r="F121" i="27" s="1"/>
  <c r="G120" i="27"/>
  <c r="F120" i="27" s="1"/>
  <c r="R71" i="13"/>
  <c r="R69" i="13"/>
  <c r="R70" i="13" s="1"/>
  <c r="T68" i="13"/>
  <c r="S68" i="13"/>
  <c r="R68" i="13"/>
  <c r="T67" i="13"/>
  <c r="S67" i="13"/>
  <c r="R67" i="13"/>
  <c r="T66" i="13"/>
  <c r="S66" i="13"/>
  <c r="R66" i="13"/>
  <c r="T63" i="13"/>
  <c r="S63" i="13"/>
  <c r="R63" i="13"/>
  <c r="T62" i="13"/>
  <c r="S62" i="13"/>
  <c r="R62" i="13"/>
  <c r="I18" i="19"/>
  <c r="R61" i="13"/>
  <c r="T60" i="13"/>
  <c r="S60" i="13"/>
  <c r="R60" i="13"/>
  <c r="R59" i="13"/>
  <c r="K8" i="19"/>
  <c r="R25" i="13"/>
  <c r="R24" i="13"/>
  <c r="T22" i="13"/>
  <c r="S22" i="13"/>
  <c r="R22" i="13"/>
  <c r="T21" i="13"/>
  <c r="S21" i="13"/>
  <c r="R21" i="13"/>
  <c r="T20" i="13"/>
  <c r="S20" i="13"/>
  <c r="R20" i="13"/>
  <c r="T19" i="13"/>
  <c r="S19" i="13"/>
  <c r="R19" i="13"/>
  <c r="T17" i="13"/>
  <c r="S17" i="13"/>
  <c r="T16" i="13"/>
  <c r="S16" i="13"/>
  <c r="R16" i="13"/>
  <c r="T15" i="13"/>
  <c r="S15" i="13"/>
  <c r="R15" i="13"/>
  <c r="T14" i="13"/>
  <c r="S14" i="13"/>
  <c r="R14" i="13"/>
  <c r="T13" i="13"/>
  <c r="S13" i="13"/>
  <c r="R13" i="13"/>
  <c r="T12" i="13"/>
  <c r="S12" i="13"/>
  <c r="R12" i="13"/>
  <c r="T11" i="13"/>
  <c r="S11" i="13"/>
  <c r="T9" i="13"/>
  <c r="S9" i="13"/>
  <c r="R9" i="13"/>
  <c r="T8" i="13"/>
  <c r="S8" i="13"/>
  <c r="R8" i="13"/>
  <c r="T7" i="13"/>
  <c r="S7" i="13"/>
  <c r="T6" i="13"/>
  <c r="S6" i="13"/>
  <c r="R6" i="13"/>
  <c r="T5" i="13"/>
  <c r="S5" i="13"/>
  <c r="R5" i="13"/>
  <c r="T4" i="13"/>
  <c r="S4" i="13"/>
  <c r="R4" i="13"/>
  <c r="S10" i="13" l="1"/>
  <c r="D68" i="18"/>
  <c r="E68" i="18" s="1"/>
  <c r="E47" i="17"/>
  <c r="G23" i="30"/>
  <c r="G22" i="30" s="1"/>
  <c r="G23" i="12"/>
  <c r="H23" i="30"/>
  <c r="H22" i="30" s="1"/>
  <c r="H23" i="12"/>
  <c r="R130" i="13"/>
  <c r="G37" i="27"/>
  <c r="E34" i="27"/>
  <c r="G35" i="20"/>
  <c r="G34" i="20"/>
  <c r="E8" i="19"/>
  <c r="E14" i="19" s="1"/>
  <c r="J27" i="17"/>
  <c r="H8" i="19"/>
  <c r="S64" i="13"/>
  <c r="O183" i="27"/>
  <c r="R64" i="13"/>
  <c r="F13" i="30" s="1"/>
  <c r="F12" i="30" s="1"/>
  <c r="R17" i="13"/>
  <c r="F23" i="12" s="1"/>
  <c r="K183" i="27"/>
  <c r="T130" i="13"/>
  <c r="I9" i="19"/>
  <c r="C8" i="24"/>
  <c r="G97" i="27"/>
  <c r="H37" i="20"/>
  <c r="F9" i="19"/>
  <c r="T59" i="13"/>
  <c r="N48" i="18"/>
  <c r="T61" i="13"/>
  <c r="L18" i="19"/>
  <c r="E180" i="27"/>
  <c r="F180" i="27" s="1"/>
  <c r="G183" i="27"/>
  <c r="S59" i="13"/>
  <c r="J48" i="18"/>
  <c r="H123" i="27"/>
  <c r="G123" i="27"/>
  <c r="E178" i="20"/>
  <c r="F178" i="20" s="1"/>
  <c r="S61" i="13"/>
  <c r="L123" i="27"/>
  <c r="K123" i="27"/>
  <c r="M178" i="27"/>
  <c r="N178" i="27" s="1"/>
  <c r="K12" i="19"/>
  <c r="L12" i="19" s="1"/>
  <c r="T64" i="13"/>
  <c r="P123" i="27"/>
  <c r="O123" i="27"/>
  <c r="I178" i="27"/>
  <c r="J178" i="27" s="1"/>
  <c r="E27" i="17"/>
  <c r="D30" i="16"/>
  <c r="J30" i="16"/>
  <c r="S58" i="13"/>
  <c r="R129" i="13"/>
  <c r="D102" i="16"/>
  <c r="D104" i="16" s="1"/>
  <c r="T129" i="13"/>
  <c r="J102" i="16"/>
  <c r="J104" i="16" s="1"/>
  <c r="S56" i="13"/>
  <c r="G30" i="16"/>
  <c r="R58" i="13"/>
  <c r="T58" i="13"/>
  <c r="J38" i="17"/>
  <c r="G102" i="16"/>
  <c r="G104" i="16" s="1"/>
  <c r="S130" i="13"/>
  <c r="S3" i="13"/>
  <c r="T10" i="13"/>
  <c r="T56" i="13"/>
  <c r="T3" i="13"/>
  <c r="S129" i="13"/>
  <c r="R56" i="13"/>
  <c r="R7" i="13"/>
  <c r="R3" i="13" s="1"/>
  <c r="R10" i="13" l="1"/>
  <c r="D5" i="24"/>
  <c r="J36" i="17"/>
  <c r="J34" i="17"/>
  <c r="J35" i="17"/>
  <c r="C5" i="24"/>
  <c r="J24" i="17"/>
  <c r="J25" i="17"/>
  <c r="J23" i="17"/>
  <c r="R57" i="13"/>
  <c r="G13" i="30"/>
  <c r="G12" i="30" s="1"/>
  <c r="G11" i="30" s="1"/>
  <c r="H13" i="30"/>
  <c r="H12" i="30" s="1"/>
  <c r="H11" i="30" s="1"/>
  <c r="F23" i="30"/>
  <c r="E17" i="19"/>
  <c r="F17" i="19" s="1"/>
  <c r="B23" i="24"/>
  <c r="D20" i="24"/>
  <c r="C20" i="24"/>
  <c r="D23" i="24"/>
  <c r="B20" i="24"/>
  <c r="D34" i="16"/>
  <c r="T10" i="16" s="1"/>
  <c r="J34" i="16"/>
  <c r="T13" i="16" s="1"/>
  <c r="C23" i="24"/>
  <c r="G34" i="16"/>
  <c r="T11" i="16" s="1"/>
  <c r="E97" i="27"/>
  <c r="F97" i="27" s="1"/>
  <c r="O122" i="27"/>
  <c r="D11" i="24"/>
  <c r="K122" i="27"/>
  <c r="C11" i="24"/>
  <c r="B5" i="24"/>
  <c r="L9" i="19"/>
  <c r="D8" i="24"/>
  <c r="H12" i="19"/>
  <c r="I12" i="19" s="1"/>
  <c r="H17" i="19"/>
  <c r="T57" i="13"/>
  <c r="L48" i="18"/>
  <c r="M48" i="18" s="1"/>
  <c r="N49" i="18"/>
  <c r="L8" i="18" s="1"/>
  <c r="L13" i="18" s="1"/>
  <c r="D6" i="24" s="1"/>
  <c r="J49" i="18"/>
  <c r="H8" i="18" s="1"/>
  <c r="H13" i="18" s="1"/>
  <c r="H48" i="18"/>
  <c r="I48" i="18" s="1"/>
  <c r="E32" i="20"/>
  <c r="E33" i="20"/>
  <c r="S57" i="13"/>
  <c r="E12" i="19"/>
  <c r="F12" i="19" s="1"/>
  <c r="F14" i="19"/>
  <c r="E13" i="17"/>
  <c r="I13" i="17" s="1"/>
  <c r="G47" i="17"/>
  <c r="E38" i="17"/>
  <c r="G38" i="17" s="1"/>
  <c r="E16" i="17"/>
  <c r="F16" i="17" s="1"/>
  <c r="H16" i="17" s="1"/>
  <c r="G27" i="17"/>
  <c r="F27" i="17"/>
  <c r="H27" i="17" s="1"/>
  <c r="F36" i="12"/>
  <c r="G25" i="30" l="1"/>
  <c r="G28" i="30" s="1"/>
  <c r="H25" i="30"/>
  <c r="H29" i="30" s="1"/>
  <c r="F22" i="30"/>
  <c r="F11" i="30" s="1"/>
  <c r="F25" i="30"/>
  <c r="F27" i="30" s="1"/>
  <c r="C6" i="24"/>
  <c r="C2" i="24" s="1"/>
  <c r="C26" i="24" s="1"/>
  <c r="D2" i="24"/>
  <c r="D26" i="24" s="1"/>
  <c r="K17" i="19"/>
  <c r="H14" i="19"/>
  <c r="I14" i="19" s="1"/>
  <c r="I11" i="19" s="1"/>
  <c r="I17" i="19"/>
  <c r="F11" i="19"/>
  <c r="F8" i="19" s="1"/>
  <c r="F7" i="19" s="1"/>
  <c r="E12" i="17"/>
  <c r="F38" i="17"/>
  <c r="H38" i="17" s="1"/>
  <c r="G16" i="17"/>
  <c r="E14" i="17"/>
  <c r="I14" i="17" s="1"/>
  <c r="G65" i="10"/>
  <c r="G64" i="10"/>
  <c r="G63" i="10"/>
  <c r="F65" i="10"/>
  <c r="F64" i="10"/>
  <c r="F63" i="10"/>
  <c r="E65" i="10"/>
  <c r="E64" i="10"/>
  <c r="E63" i="10"/>
  <c r="E71" i="10"/>
  <c r="G71" i="10"/>
  <c r="F71" i="10"/>
  <c r="F12" i="17" l="1"/>
  <c r="H12" i="17" s="1"/>
  <c r="G12" i="17" s="1"/>
  <c r="I12" i="17"/>
  <c r="I8" i="19"/>
  <c r="I7" i="19" s="1"/>
  <c r="L17" i="19"/>
  <c r="K14" i="19"/>
  <c r="L14" i="19" s="1"/>
  <c r="L11" i="19" s="1"/>
  <c r="J26" i="17"/>
  <c r="E34" i="17"/>
  <c r="I34" i="17" s="1"/>
  <c r="J37" i="17"/>
  <c r="G14" i="17"/>
  <c r="F14" i="17"/>
  <c r="H14" i="17" s="1"/>
  <c r="E24" i="17"/>
  <c r="I24" i="17" s="1"/>
  <c r="E23" i="17"/>
  <c r="I23" i="17" s="1"/>
  <c r="E36" i="17"/>
  <c r="I36" i="17" s="1"/>
  <c r="G13" i="17"/>
  <c r="F13" i="17"/>
  <c r="H13" i="17" s="1"/>
  <c r="E25" i="17"/>
  <c r="I25" i="17" s="1"/>
  <c r="E35" i="17"/>
  <c r="I35" i="17" s="1"/>
  <c r="E57" i="10"/>
  <c r="F57" i="10"/>
  <c r="G57" i="10"/>
  <c r="E57" i="17" l="1"/>
  <c r="G57" i="17" s="1"/>
  <c r="L8" i="19"/>
  <c r="L7" i="19" s="1"/>
  <c r="E26" i="17"/>
  <c r="I26" i="17" s="1"/>
  <c r="G35" i="17"/>
  <c r="F35" i="17"/>
  <c r="H35" i="17" s="1"/>
  <c r="F23" i="17"/>
  <c r="H23" i="17" s="1"/>
  <c r="G24" i="17"/>
  <c r="F24" i="17"/>
  <c r="H24" i="17" s="1"/>
  <c r="E37" i="17"/>
  <c r="G36" i="17"/>
  <c r="F36" i="17"/>
  <c r="H36" i="17" s="1"/>
  <c r="I16" i="17"/>
  <c r="G25" i="17"/>
  <c r="F25" i="17"/>
  <c r="H25" i="17" s="1"/>
  <c r="F34" i="17"/>
  <c r="H34" i="17" s="1"/>
  <c r="E7" i="10"/>
  <c r="I37" i="17" l="1"/>
  <c r="I38" i="17" s="1"/>
  <c r="I27" i="17"/>
  <c r="G34" i="17"/>
  <c r="F37" i="17"/>
  <c r="H37" i="17" s="1"/>
  <c r="G37" i="17"/>
  <c r="G23" i="17"/>
  <c r="G26" i="17"/>
  <c r="F26" i="17"/>
  <c r="H26" i="17" s="1"/>
  <c r="G10" i="12"/>
  <c r="G13" i="12" s="1"/>
  <c r="H10" i="12"/>
  <c r="H13" i="12" s="1"/>
  <c r="F10" i="12"/>
  <c r="F13" i="12" s="1"/>
  <c r="E84" i="10"/>
  <c r="F84" i="10"/>
  <c r="G84" i="10"/>
  <c r="E58" i="10"/>
  <c r="E56" i="10"/>
  <c r="E66" i="10"/>
  <c r="F58" i="10"/>
  <c r="G58" i="10"/>
  <c r="E49" i="10"/>
  <c r="E47" i="10"/>
  <c r="G47" i="10"/>
  <c r="F47" i="10"/>
  <c r="G60" i="10"/>
  <c r="F60" i="10"/>
  <c r="E60" i="10"/>
  <c r="G56" i="10"/>
  <c r="F56" i="10"/>
  <c r="E79" i="10"/>
  <c r="F79" i="10"/>
  <c r="G79" i="10"/>
  <c r="E80" i="10"/>
  <c r="F80" i="10"/>
  <c r="G80" i="10"/>
  <c r="E81" i="10"/>
  <c r="F81" i="10"/>
  <c r="G81" i="10"/>
  <c r="E82" i="10"/>
  <c r="F82" i="10"/>
  <c r="G82" i="10"/>
  <c r="E83" i="10"/>
  <c r="F83" i="10"/>
  <c r="G83" i="10"/>
  <c r="E85" i="10"/>
  <c r="F85" i="10"/>
  <c r="G85" i="10"/>
  <c r="E86" i="10"/>
  <c r="F86" i="10"/>
  <c r="G86" i="10"/>
  <c r="G78" i="10"/>
  <c r="F78" i="10"/>
  <c r="E78" i="10"/>
  <c r="G49" i="10"/>
  <c r="F49" i="10"/>
  <c r="F48" i="10" s="1"/>
  <c r="E44" i="10"/>
  <c r="F44" i="10"/>
  <c r="G44" i="10"/>
  <c r="E45" i="10"/>
  <c r="F45" i="10"/>
  <c r="G45" i="10"/>
  <c r="E46" i="10"/>
  <c r="F46" i="10"/>
  <c r="G46" i="10"/>
  <c r="G43" i="10"/>
  <c r="F43" i="10"/>
  <c r="E43" i="10"/>
  <c r="E41" i="10"/>
  <c r="F41" i="10"/>
  <c r="G41" i="10"/>
  <c r="E40" i="10"/>
  <c r="G40" i="10"/>
  <c r="F40" i="10"/>
  <c r="F27" i="10"/>
  <c r="G27" i="10"/>
  <c r="E27" i="10"/>
  <c r="F24" i="10"/>
  <c r="G24" i="10"/>
  <c r="F22" i="10"/>
  <c r="G22" i="10"/>
  <c r="E24" i="10"/>
  <c r="E22" i="10"/>
  <c r="F20" i="10"/>
  <c r="G20" i="10"/>
  <c r="E20" i="10"/>
  <c r="F18" i="10"/>
  <c r="G18" i="10"/>
  <c r="E18" i="10"/>
  <c r="F16" i="10"/>
  <c r="G16" i="10"/>
  <c r="E16" i="10"/>
  <c r="F15" i="10"/>
  <c r="G15" i="10"/>
  <c r="E15" i="10"/>
  <c r="F14" i="10"/>
  <c r="G14" i="10"/>
  <c r="E14" i="10"/>
  <c r="E76" i="10" l="1"/>
  <c r="F76" i="10"/>
  <c r="G76" i="10"/>
  <c r="E120" i="10"/>
  <c r="G55" i="10"/>
  <c r="E55" i="10"/>
  <c r="E54" i="10" s="1"/>
  <c r="F55" i="10"/>
  <c r="G70" i="10"/>
  <c r="F70" i="10"/>
  <c r="E70" i="10"/>
  <c r="E48" i="10"/>
  <c r="F62" i="10"/>
  <c r="G62" i="10"/>
  <c r="E62" i="10"/>
  <c r="G42" i="10"/>
  <c r="E42" i="10"/>
  <c r="F42" i="10"/>
  <c r="E39" i="10"/>
  <c r="F13" i="10"/>
  <c r="E13" i="10"/>
  <c r="G13" i="10"/>
  <c r="G11" i="10"/>
  <c r="G10" i="10" s="1"/>
  <c r="F11" i="10"/>
  <c r="F10" i="10" s="1"/>
  <c r="E11" i="10"/>
  <c r="E10" i="10" s="1"/>
  <c r="E38" i="10" l="1"/>
  <c r="G97" i="10" l="1"/>
  <c r="F97" i="10"/>
  <c r="E97" i="10"/>
  <c r="G93" i="10"/>
  <c r="F93" i="10"/>
  <c r="E93" i="10"/>
  <c r="G90" i="10"/>
  <c r="G72" i="10" s="1"/>
  <c r="F90" i="10"/>
  <c r="F72" i="10" s="1"/>
  <c r="E90" i="10"/>
  <c r="G66" i="10"/>
  <c r="F66" i="10"/>
  <c r="G54" i="10"/>
  <c r="F54" i="10"/>
  <c r="G48" i="10"/>
  <c r="G39" i="10"/>
  <c r="F39" i="10"/>
  <c r="G34" i="10"/>
  <c r="F34" i="10"/>
  <c r="E34" i="10"/>
  <c r="G30" i="10"/>
  <c r="F30" i="10"/>
  <c r="E30" i="10"/>
  <c r="G25" i="10"/>
  <c r="F25" i="10"/>
  <c r="E25" i="10"/>
  <c r="G21" i="10"/>
  <c r="F21" i="10"/>
  <c r="E21" i="10"/>
  <c r="G17" i="10"/>
  <c r="F17" i="10"/>
  <c r="E17" i="10"/>
  <c r="F7" i="30" l="1"/>
  <c r="I7" i="30" s="1"/>
  <c r="E72" i="10"/>
  <c r="E37" i="10" s="1"/>
  <c r="J37" i="10" s="1"/>
  <c r="T5" i="16"/>
  <c r="T15" i="16" s="1"/>
  <c r="T6" i="16"/>
  <c r="T16" i="16" s="1"/>
  <c r="T7" i="16"/>
  <c r="T17" i="16" s="1"/>
  <c r="F7" i="12"/>
  <c r="F38" i="10"/>
  <c r="G9" i="10"/>
  <c r="F9" i="10"/>
  <c r="E9" i="10"/>
  <c r="G38" i="10"/>
  <c r="G7" i="12" l="1"/>
  <c r="G7" i="30"/>
  <c r="J7" i="30" s="1"/>
  <c r="H7" i="12"/>
  <c r="H7" i="30"/>
  <c r="K7" i="30" s="1"/>
  <c r="E8" i="10"/>
  <c r="E121" i="10" s="1"/>
  <c r="G120" i="10"/>
  <c r="F120" i="10"/>
  <c r="G37" i="10"/>
  <c r="G8" i="10" s="1"/>
  <c r="F37" i="10"/>
  <c r="F8" i="10" s="1"/>
  <c r="F121" i="10" l="1"/>
  <c r="G121" i="10"/>
  <c r="G22" i="12" l="1"/>
  <c r="H22" i="12"/>
  <c r="G16" i="12"/>
  <c r="G25" i="12" s="1"/>
  <c r="H16" i="12"/>
  <c r="H25" i="12" s="1"/>
  <c r="F22" i="12"/>
  <c r="G12" i="12"/>
  <c r="H12" i="12"/>
  <c r="F12" i="12" l="1"/>
  <c r="F16" i="12"/>
  <c r="G28" i="12"/>
  <c r="G15" i="12"/>
  <c r="G11" i="12" s="1"/>
  <c r="J7" i="12" s="1"/>
  <c r="H29" i="12"/>
  <c r="H15" i="12"/>
  <c r="H11" i="12" s="1"/>
  <c r="K7" i="12" s="1"/>
  <c r="F25" i="12" l="1"/>
  <c r="F27" i="12" s="1"/>
  <c r="F15" i="12"/>
  <c r="F11" i="12" s="1"/>
  <c r="I7" i="12" s="1"/>
  <c r="G122" i="27" l="1"/>
  <c r="H9" i="27"/>
  <c r="H12" i="27" s="1"/>
  <c r="F12" i="27" l="1"/>
  <c r="G12" i="27" s="1"/>
  <c r="E34" i="20"/>
  <c r="E35" i="20"/>
  <c r="G37" i="20"/>
  <c r="B11" i="24" s="1"/>
  <c r="B2" i="24" s="1"/>
  <c r="B26"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Демин Д.В.</author>
  </authors>
  <commentList>
    <comment ref="B1" authorId="0" shapeId="0" xr:uid="{00000000-0006-0000-0000-000001000000}">
      <text>
        <r>
          <rPr>
            <b/>
            <sz val="18"/>
            <color indexed="81"/>
            <rFont val="Times New Roman"/>
            <family val="1"/>
            <charset val="204"/>
          </rPr>
          <t>год обоснований</t>
        </r>
      </text>
    </comment>
    <comment ref="E2" authorId="0" shapeId="0" xr:uid="{00000000-0006-0000-0000-000002000000}">
      <text>
        <r>
          <rPr>
            <b/>
            <sz val="14"/>
            <color indexed="81"/>
            <rFont val="Tahoma"/>
            <family val="2"/>
            <charset val="204"/>
          </rPr>
          <t>504.12</t>
        </r>
      </text>
    </comment>
    <comment ref="F2" authorId="0" shapeId="0" xr:uid="{00000000-0006-0000-0000-000003000000}">
      <text>
        <r>
          <rPr>
            <b/>
            <sz val="14"/>
            <color indexed="81"/>
            <rFont val="Tahoma"/>
            <family val="2"/>
            <charset val="204"/>
          </rPr>
          <t>504.22</t>
        </r>
      </text>
    </comment>
    <comment ref="G2" authorId="0" shapeId="0" xr:uid="{00000000-0006-0000-0000-000004000000}">
      <text>
        <r>
          <rPr>
            <b/>
            <sz val="14"/>
            <color indexed="81"/>
            <rFont val="Tahoma"/>
            <family val="2"/>
            <charset val="204"/>
          </rPr>
          <t>504.32</t>
        </r>
      </text>
    </comment>
    <comment ref="B177" authorId="0" shapeId="0" xr:uid="{00000000-0006-0000-0000-000005000000}">
      <text>
        <r>
          <rPr>
            <b/>
            <sz val="12"/>
            <color indexed="81"/>
            <rFont val="Times New Roman"/>
            <family val="1"/>
            <charset val="204"/>
          </rPr>
          <t>необходимо для расчета раздела 2.1 (ячейка G13)</t>
        </r>
      </text>
    </comment>
  </commentList>
</comments>
</file>

<file path=xl/sharedStrings.xml><?xml version="1.0" encoding="utf-8"?>
<sst xmlns="http://schemas.openxmlformats.org/spreadsheetml/2006/main" count="3398" uniqueCount="846">
  <si>
    <t>Наименование показателя</t>
  </si>
  <si>
    <t>Код строки</t>
  </si>
  <si>
    <t>текущий финансовый год</t>
  </si>
  <si>
    <t>первый год планового периода</t>
  </si>
  <si>
    <t>второй год планового периода</t>
  </si>
  <si>
    <t>Сумма</t>
  </si>
  <si>
    <t>1</t>
  </si>
  <si>
    <t>2</t>
  </si>
  <si>
    <t>3</t>
  </si>
  <si>
    <t>4</t>
  </si>
  <si>
    <t>5</t>
  </si>
  <si>
    <t>(наименование должности уполномоченного лица)</t>
  </si>
  <si>
    <t>(подпись)</t>
  </si>
  <si>
    <t>(расшифровка подписи)</t>
  </si>
  <si>
    <t>Коды</t>
  </si>
  <si>
    <t>Дата</t>
  </si>
  <si>
    <t>глава по БК</t>
  </si>
  <si>
    <t>ИНН</t>
  </si>
  <si>
    <t>КПП</t>
  </si>
  <si>
    <t>по ОКЕИ</t>
  </si>
  <si>
    <t>Учреждение</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</si>
  <si>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</si>
  <si>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</si>
  <si>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</si>
  <si>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</si>
  <si>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</si>
  <si>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</si>
  <si>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</si>
  <si>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</si>
  <si>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</si>
  <si>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</si>
  <si>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</si>
  <si>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</si>
  <si>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</si>
  <si>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</si>
  <si>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</si>
  <si>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</si>
  <si>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</si>
  <si>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</si>
  <si>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</si>
  <si>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</si>
  <si>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</si>
  <si>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</si>
  <si>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</si>
  <si>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</si>
  <si>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</si>
  <si>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</si>
  <si>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</si>
  <si>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</si>
  <si>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</si>
  <si>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</si>
  <si>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</si>
  <si>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</si>
  <si>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</si>
  <si>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</si>
  <si>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</si>
  <si>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</si>
  <si>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</si>
  <si>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</si>
  <si>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</si>
  <si>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</si>
  <si>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</si>
  <si>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</si>
  <si>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</si>
  <si>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</si>
  <si>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</si>
  <si>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</si>
  <si>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</si>
  <si>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</si>
  <si>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</si>
  <si>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</si>
  <si>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</si>
  <si>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</si>
  <si>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</si>
  <si>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</si>
  <si>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</si>
  <si>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</si>
  <si>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</si>
  <si>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</si>
  <si>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</si>
  <si>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</si>
  <si>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</si>
  <si>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</si>
  <si>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</si>
  <si>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</si>
  <si>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</si>
  <si>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</si>
  <si>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</si>
  <si>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</si>
  <si>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</si>
  <si>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</si>
  <si>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</si>
  <si>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</si>
  <si>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</si>
  <si>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</si>
  <si>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</si>
  <si>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</si>
  <si>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</si>
  <si>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</si>
  <si>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</si>
  <si>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</si>
  <si>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</si>
  <si>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</si>
  <si>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</si>
  <si>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</si>
  <si>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</si>
  <si>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</si>
  <si>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</si>
  <si>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</si>
  <si>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</si>
  <si>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</si>
  <si>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</si>
  <si>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</si>
  <si>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</si>
  <si>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</si>
  <si>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</si>
  <si>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</si>
  <si>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</si>
  <si>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</si>
  <si>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</si>
  <si>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</si>
  <si>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</si>
  <si>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</si>
  <si>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</si>
  <si>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</si>
  <si>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</si>
  <si>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</si>
  <si>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</si>
  <si>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</si>
  <si>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</si>
  <si>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</si>
  <si>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</si>
  <si>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</si>
  <si>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</si>
  <si>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</si>
  <si>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</si>
  <si>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</si>
  <si>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</si>
  <si>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2650</t>
  </si>
  <si>
    <t>400</t>
  </si>
  <si>
    <t>2651</t>
  </si>
  <si>
    <t>406</t>
  </si>
  <si>
    <t>2652</t>
  </si>
  <si>
    <t>407</t>
  </si>
  <si>
    <t>3000</t>
  </si>
  <si>
    <t>100</t>
  </si>
  <si>
    <t>3010</t>
  </si>
  <si>
    <t>3020</t>
  </si>
  <si>
    <t>3030</t>
  </si>
  <si>
    <t>4000</t>
  </si>
  <si>
    <t>из них:
возврат в бюджет средств субсидии</t>
  </si>
  <si>
    <t>4010</t>
  </si>
  <si>
    <t>610</t>
  </si>
  <si>
    <t>№
п/п</t>
  </si>
  <si>
    <t>Год
начала закупки</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</si>
  <si>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</si>
  <si>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</si>
  <si>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</si>
  <si>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</si>
  <si>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</si>
  <si>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</si>
  <si>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</si>
  <si>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</si>
  <si>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</si>
  <si>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</si>
  <si>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</si>
  <si>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</si>
  <si>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</si>
  <si>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</si>
  <si>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</si>
  <si>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</si>
  <si>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</si>
  <si>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</si>
  <si>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</si>
  <si>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</si>
  <si>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</si>
  <si>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</si>
  <si>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</si>
  <si>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</si>
  <si>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</si>
  <si>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</si>
  <si>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</si>
  <si>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</si>
  <si>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</si>
  <si>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</si>
  <si>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</si>
  <si>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</si>
  <si>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</si>
  <si>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</si>
  <si>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</si>
  <si>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</si>
  <si>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</si>
  <si>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</si>
  <si>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</si>
  <si>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</si>
  <si>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</si>
  <si>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</si>
  <si>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</si>
  <si>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</si>
  <si>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</si>
  <si>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</si>
  <si>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</si>
  <si>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</si>
  <si>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</si>
  <si>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</si>
  <si>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</si>
  <si>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</si>
  <si>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</si>
  <si>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органа, осуществляющего функции и полномочия  учредителя)</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</si>
  <si>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</si>
  <si>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</si>
  <si>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</si>
  <si>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</si>
  <si>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</si>
  <si>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 том числе:
за счет субсидий, предоставляемых на финансовое обеспечение выполнения муниципального задания</t>
  </si>
  <si>
    <t>(наименование должности уполномоченного лица органа, осуществляющего функции и полномочия учредителя)</t>
  </si>
  <si>
    <r>
      <t>в том числе:
по контрактам (договорам), заключенным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18.07.2011 № 223-ФЗ «О закупках товаров, работ, услуг отдельными видами юридических лиц» (далее - Федеральный закон № 223-ФЗ)</t>
    </r>
    <r>
      <rPr>
        <vertAlign val="superscript"/>
        <sz val="8"/>
        <rFont val="Times New Roman"/>
        <family val="1"/>
        <charset val="204"/>
      </rPr>
      <t>12</t>
    </r>
  </si>
  <si>
    <r>
      <t>в соответствии с Федеральным законом № 223-ФЗ</t>
    </r>
    <r>
      <rPr>
        <vertAlign val="superscript"/>
        <sz val="8"/>
        <rFont val="Times New Roman"/>
        <family val="1"/>
        <charset val="204"/>
      </rPr>
      <t>14</t>
    </r>
  </si>
  <si>
    <r>
      <t>Выплаты на закупку товаров, работ, услуг, всего</t>
    </r>
    <r>
      <rPr>
        <b/>
        <vertAlign val="superscript"/>
        <sz val="8"/>
        <rFont val="Times New Roman"/>
        <family val="1"/>
        <charset val="204"/>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</si>
  <si>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8"/>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</si>
  <si>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8"/>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</si>
  <si>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8"/>
        <rFont val="Times New Roman"/>
        <family val="1"/>
        <charset val="204"/>
      </rPr>
      <t>13</t>
    </r>
  </si>
  <si>
    <r>
      <t>за счет субсидий, предоставляемых на осуществление капитальных вложений</t>
    </r>
    <r>
      <rPr>
        <vertAlign val="superscript"/>
        <sz val="8"/>
        <rFont val="Times New Roman"/>
        <family val="1"/>
        <charset val="204"/>
      </rPr>
      <t>15</t>
    </r>
  </si>
  <si>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8"/>
        <rFont val="Times New Roman"/>
        <family val="1"/>
        <charset val="204"/>
      </rPr>
      <t>16</t>
    </r>
  </si>
  <si>
    <t>руб.</t>
  </si>
  <si>
    <t>Комитет по образованию администрации города Мурманска</t>
  </si>
  <si>
    <t>УТВЕРЖДАЮ</t>
  </si>
  <si>
    <t>Комитет по образованию администрации 
города Мурманска</t>
  </si>
  <si>
    <t>Орган, осуществляющий функции и полномочия учредителя</t>
  </si>
  <si>
    <t>Единица измерения</t>
  </si>
  <si>
    <t xml:space="preserve">    Андрианов Василий Геннадьевич</t>
  </si>
  <si>
    <t>Председатель комитета</t>
  </si>
  <si>
    <t>по сводному реестру</t>
  </si>
  <si>
    <r>
      <t>Код по бюджетной классификации Российской Федерации</t>
    </r>
    <r>
      <rPr>
        <vertAlign val="superscript"/>
        <sz val="12"/>
        <rFont val="Times New Roman"/>
        <family val="1"/>
        <charset val="204"/>
      </rPr>
      <t>3</t>
    </r>
  </si>
  <si>
    <r>
      <t>Аналитический код</t>
    </r>
    <r>
      <rPr>
        <vertAlign val="superscript"/>
        <sz val="12"/>
        <rFont val="Times New Roman"/>
        <family val="1"/>
        <charset val="204"/>
      </rPr>
      <t>4</t>
    </r>
  </si>
  <si>
    <r>
      <t>Остаток средств на начало текущего финансового года</t>
    </r>
    <r>
      <rPr>
        <vertAlign val="superscript"/>
        <sz val="12"/>
        <rFont val="Times New Roman"/>
        <family val="1"/>
        <charset val="204"/>
      </rPr>
      <t>5</t>
    </r>
  </si>
  <si>
    <r>
      <t>Остаток средств на конец текущего финансового года</t>
    </r>
    <r>
      <rPr>
        <vertAlign val="superscript"/>
        <sz val="12"/>
        <rFont val="Times New Roman"/>
        <family val="1"/>
        <charset val="204"/>
      </rPr>
      <t>5</t>
    </r>
  </si>
  <si>
    <r>
      <t xml:space="preserve">прочие поступления, всего </t>
    </r>
    <r>
      <rPr>
        <vertAlign val="superscript"/>
        <sz val="12"/>
        <rFont val="Times New Roman"/>
        <family val="1"/>
        <charset val="204"/>
      </rPr>
      <t>6</t>
    </r>
  </si>
  <si>
    <r>
      <t xml:space="preserve">расходы на закупку товаров, работ, услуг, всего </t>
    </r>
    <r>
      <rPr>
        <vertAlign val="superscript"/>
        <sz val="12"/>
        <rFont val="Times New Roman"/>
        <family val="1"/>
        <charset val="204"/>
      </rPr>
      <t>7</t>
    </r>
  </si>
  <si>
    <r>
      <t xml:space="preserve">Выплаты, уменьшающие доход, всего </t>
    </r>
    <r>
      <rPr>
        <b/>
        <vertAlign val="superscript"/>
        <sz val="12"/>
        <rFont val="Times New Roman"/>
        <family val="1"/>
        <charset val="204"/>
      </rPr>
      <t>8</t>
    </r>
  </si>
  <si>
    <r>
      <t xml:space="preserve">в том числе:
налог на прибыль </t>
    </r>
    <r>
      <rPr>
        <vertAlign val="superscript"/>
        <sz val="12"/>
        <rFont val="Times New Roman"/>
        <family val="1"/>
        <charset val="204"/>
      </rPr>
      <t>8</t>
    </r>
  </si>
  <si>
    <r>
      <t xml:space="preserve">налог на добавленную стоимость </t>
    </r>
    <r>
      <rPr>
        <vertAlign val="superscript"/>
        <sz val="12"/>
        <rFont val="Times New Roman"/>
        <family val="1"/>
        <charset val="204"/>
      </rPr>
      <t>8</t>
    </r>
  </si>
  <si>
    <r>
      <t xml:space="preserve">прочие налоги, уменьшающие доход </t>
    </r>
    <r>
      <rPr>
        <vertAlign val="superscript"/>
        <sz val="12"/>
        <rFont val="Times New Roman"/>
        <family val="1"/>
        <charset val="204"/>
      </rPr>
      <t>8</t>
    </r>
  </si>
  <si>
    <r>
      <t xml:space="preserve">Прочие выплаты, всего </t>
    </r>
    <r>
      <rPr>
        <b/>
        <vertAlign val="superscript"/>
        <sz val="12"/>
        <rFont val="Times New Roman"/>
        <family val="1"/>
        <charset val="204"/>
      </rPr>
      <t>9</t>
    </r>
  </si>
  <si>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</si>
  <si>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</si>
  <si>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</si>
  <si>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</si>
  <si>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</si>
  <si>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Раздел 2. Сведения по выплатам на закупки товаров, работ, услуг </t>
    </r>
    <r>
      <rPr>
        <b/>
        <vertAlign val="superscript"/>
        <sz val="14"/>
        <rFont val="Times New Roman"/>
        <family val="1"/>
        <charset val="204"/>
      </rPr>
      <t>10</t>
    </r>
  </si>
  <si>
    <t>Год</t>
  </si>
  <si>
    <t>Аренда</t>
  </si>
  <si>
    <t>010</t>
  </si>
  <si>
    <t>Платные</t>
  </si>
  <si>
    <t>Коммуналка</t>
  </si>
  <si>
    <t>Штрафы, пени, неустойки, возмещения ущерба</t>
  </si>
  <si>
    <t>в т.ч. гранты</t>
  </si>
  <si>
    <t>Невыясненные поступления</t>
  </si>
  <si>
    <t>Доходы от операций с активами</t>
  </si>
  <si>
    <t>Командировочные, Суточные</t>
  </si>
  <si>
    <t>Командировочные, Сопровождение</t>
  </si>
  <si>
    <t>Гигиеническая аттестация по авансовым отчетам</t>
  </si>
  <si>
    <t>Компенсация медкомиссии при трудоустройстве</t>
  </si>
  <si>
    <t>Питание участвующих в соревнованиях</t>
  </si>
  <si>
    <t>Аренда контейнера</t>
  </si>
  <si>
    <t>Аренда спортивных сооружений</t>
  </si>
  <si>
    <t>Командировочные, Участники</t>
  </si>
  <si>
    <t>Стрелковая подготовка</t>
  </si>
  <si>
    <t>Медкомиссия</t>
  </si>
  <si>
    <t>Все остальное</t>
  </si>
  <si>
    <t>Страхование учащихся</t>
  </si>
  <si>
    <t>Услуги, работы для целей капитальных вложений</t>
  </si>
  <si>
    <t>Лекарственные препараты</t>
  </si>
  <si>
    <t>Продукты питания</t>
  </si>
  <si>
    <t>Горюче-смазочные материалы</t>
  </si>
  <si>
    <t>Строительные материалы</t>
  </si>
  <si>
    <t>Мягкий инвентарь</t>
  </si>
  <si>
    <t xml:space="preserve">Прочие оборотные запасы </t>
  </si>
  <si>
    <t>Материальные запасы для целей капитальных вложений</t>
  </si>
  <si>
    <t>Наградная продукция</t>
  </si>
  <si>
    <t>Компенсация расходов на выезд из районов крайнего севера</t>
  </si>
  <si>
    <t>Выплаты выходного пособия при расторжении трудового договора</t>
  </si>
  <si>
    <t>Госпошлина</t>
  </si>
  <si>
    <t>Пени за несвоевременную уплату налогов, сборов</t>
  </si>
  <si>
    <t>Пени за неисполнение условий договоров</t>
  </si>
  <si>
    <t>Штрафы Роспотребнадзор</t>
  </si>
  <si>
    <t>Ставка рефинансирования за задержку заработной платы</t>
  </si>
  <si>
    <t>Расхождение</t>
  </si>
  <si>
    <t>Вывоз мусора</t>
  </si>
  <si>
    <t>Выплата компенсации родителям за обучение на дому детей-инвалидов</t>
  </si>
  <si>
    <t>Выплата государственных премий</t>
  </si>
  <si>
    <t>Налог на имущество организаций</t>
  </si>
  <si>
    <t>Земельный налог</t>
  </si>
  <si>
    <t>Прочая аренда</t>
  </si>
  <si>
    <t>Возмещение денежных средств сопровождающему на проезд учащихся</t>
  </si>
  <si>
    <t>3 и 6 окладов</t>
  </si>
  <si>
    <t>Компенсация проезда к месту проведения отпуска и обратно</t>
  </si>
  <si>
    <t>Пособие до достижения 3-х лет</t>
  </si>
  <si>
    <t>Командировочные, Питание детей</t>
  </si>
  <si>
    <t>Командировочные, Одаренные дети</t>
  </si>
  <si>
    <t>ФИО директора</t>
  </si>
  <si>
    <t>ФИО исполнителя</t>
  </si>
  <si>
    <t>Категория 
персонала</t>
  </si>
  <si>
    <t>АУП</t>
  </si>
  <si>
    <t>Педагогический персонал</t>
  </si>
  <si>
    <t>Вспомогательный персонал</t>
  </si>
  <si>
    <t>Получателей пособия до 1.5 лет</t>
  </si>
  <si>
    <t>Остаток на начало года</t>
  </si>
  <si>
    <t>КФО 2</t>
  </si>
  <si>
    <t>КФО 4</t>
  </si>
  <si>
    <t>КФО 5</t>
  </si>
  <si>
    <t>Сумма контрактов, заключенных до начала года</t>
  </si>
  <si>
    <t>ДОХОДЫ</t>
  </si>
  <si>
    <t>РАСХОДЫ</t>
  </si>
  <si>
    <t>Командировочные, участники (дети)</t>
  </si>
  <si>
    <t>Физическая охрана</t>
  </si>
  <si>
    <t>МЭК</t>
  </si>
  <si>
    <t>з/п</t>
  </si>
  <si>
    <t>3 дня б/л</t>
  </si>
  <si>
    <t>связь</t>
  </si>
  <si>
    <t>транспортные расходы</t>
  </si>
  <si>
    <t>прочее</t>
  </si>
  <si>
    <t>121</t>
  </si>
  <si>
    <t>доходы от операционной аренды</t>
  </si>
  <si>
    <t>131</t>
  </si>
  <si>
    <t>поступления от оказания услуг (выполнения работ) на платной основе и от иной приносящей доход деятельности</t>
  </si>
  <si>
    <t>1220</t>
  </si>
  <si>
    <t>платные услуги, род плата, пит сотр</t>
  </si>
  <si>
    <t>доходы по условным арендным платежам</t>
  </si>
  <si>
    <t>135</t>
  </si>
  <si>
    <t>возмещение коммунальных услуг</t>
  </si>
  <si>
    <t>141</t>
  </si>
  <si>
    <t>доходы от штрафных санкций за нарушение законодательства о закупках и нарушение условий контрактов (договоров)</t>
  </si>
  <si>
    <t>целевое финансирование за нарушение условий договора</t>
  </si>
  <si>
    <t>прочие доходы от сумм принудительного изъятия</t>
  </si>
  <si>
    <t>1320</t>
  </si>
  <si>
    <t>145</t>
  </si>
  <si>
    <t>возмещение ущерба</t>
  </si>
  <si>
    <t>1410</t>
  </si>
  <si>
    <t>поступления текущего характера от организаций государственного сектора</t>
  </si>
  <si>
    <t>гранты, пожертвования от организаций государственного сектора</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</si>
  <si>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</si>
  <si>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1420</t>
  </si>
  <si>
    <t>155</t>
  </si>
  <si>
    <t>гранты, пожертвования от иных организаций и физических лиц (+целевые)</t>
  </si>
  <si>
    <t>152</t>
  </si>
  <si>
    <t>субсидия на иные цели</t>
  </si>
  <si>
    <t>162</t>
  </si>
  <si>
    <t>440</t>
  </si>
  <si>
    <t>1910</t>
  </si>
  <si>
    <t>442</t>
  </si>
  <si>
    <t>уменьшение стоимости продуктов питания</t>
  </si>
  <si>
    <t>недостача продуктов питания</t>
  </si>
  <si>
    <t>уменьшение стоимости прочих оборотных ценностей (материалов)</t>
  </si>
  <si>
    <t>1920</t>
  </si>
  <si>
    <t>446</t>
  </si>
  <si>
    <t>недостача материальных ценностей</t>
  </si>
  <si>
    <t>200</t>
  </si>
  <si>
    <t xml:space="preserve">     из них:
     заработная плата</t>
  </si>
  <si>
    <t>2111</t>
  </si>
  <si>
    <t>211</t>
  </si>
  <si>
    <t xml:space="preserve">     социальные пособия и компенсации персоналу в денежной форме</t>
  </si>
  <si>
    <t>2112</t>
  </si>
  <si>
    <t>266</t>
  </si>
  <si>
    <t>пособие за первые три дня нетрудоспос</t>
  </si>
  <si>
    <t xml:space="preserve">    из них:
    прочие несоциальные выплаты персоналу в денежной форме</t>
  </si>
  <si>
    <t>2121</t>
  </si>
  <si>
    <t>212</t>
  </si>
  <si>
    <t>единовр пособие мол спец и проч; суточные в командировке</t>
  </si>
  <si>
    <t xml:space="preserve">    прочие несоциальные выплаты персоналу в натуральной форме</t>
  </si>
  <si>
    <t>2122</t>
  </si>
  <si>
    <t>214</t>
  </si>
  <si>
    <t>компенсация к месту отдыха и обратно</t>
  </si>
  <si>
    <t xml:space="preserve">    прочие работы, услуги</t>
  </si>
  <si>
    <t>2123</t>
  </si>
  <si>
    <t>226</t>
  </si>
  <si>
    <t>возмещение расходов на прохожд мед комиссии, гиг аттест; проживание и проезд в командировку</t>
  </si>
  <si>
    <t xml:space="preserve">    социальные пособия и компенсации персоналу в денежной форме</t>
  </si>
  <si>
    <t>2124</t>
  </si>
  <si>
    <t>выплаты сотр, наход в отпуске по уходу за ребенком до 3-х лет</t>
  </si>
  <si>
    <t>питание учащихсяпри направлениина мероприятия</t>
  </si>
  <si>
    <t>213</t>
  </si>
  <si>
    <t>страховые взносы на оплату труда</t>
  </si>
  <si>
    <t>страховые взносы на компенсацию расходов к проезду к месту отдыха</t>
  </si>
  <si>
    <t>КОСГУ 292, 293, 296</t>
  </si>
  <si>
    <t xml:space="preserve">    из них:</t>
  </si>
  <si>
    <t>2641</t>
  </si>
  <si>
    <t>221</t>
  </si>
  <si>
    <t xml:space="preserve">    услуги связи</t>
  </si>
  <si>
    <t xml:space="preserve">    транспортные услуги</t>
  </si>
  <si>
    <t>2642</t>
  </si>
  <si>
    <t>222</t>
  </si>
  <si>
    <t xml:space="preserve">    коммунальные услуги</t>
  </si>
  <si>
    <t>2643</t>
  </si>
  <si>
    <t>223</t>
  </si>
  <si>
    <t xml:space="preserve">    арендная плата за пользование имуществом</t>
  </si>
  <si>
    <t>2644</t>
  </si>
  <si>
    <t>224</t>
  </si>
  <si>
    <t xml:space="preserve">    работы, услуги по содержанию имущества</t>
  </si>
  <si>
    <t>2645</t>
  </si>
  <si>
    <t>225</t>
  </si>
  <si>
    <t>2646</t>
  </si>
  <si>
    <t xml:space="preserve">    услуги, работы для целей капитальных вложений</t>
  </si>
  <si>
    <t>2647</t>
  </si>
  <si>
    <t>228</t>
  </si>
  <si>
    <t xml:space="preserve">    увеличение стоимости основных средств</t>
  </si>
  <si>
    <t>2648</t>
  </si>
  <si>
    <t>310</t>
  </si>
  <si>
    <t xml:space="preserve">    увеличение стоимости материальных запасов</t>
  </si>
  <si>
    <t>2649</t>
  </si>
  <si>
    <t>189</t>
  </si>
  <si>
    <r>
      <rPr>
        <vertAlign val="superscript"/>
        <sz val="10"/>
        <rFont val="Times New Roman"/>
        <family val="1"/>
        <charset val="204"/>
      </rPr>
      <t>2</t>
    </r>
    <r>
      <rPr>
        <sz val="10"/>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</si>
  <si>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rPr>
        <vertAlign val="superscript"/>
        <sz val="10"/>
        <rFont val="Times New Roman"/>
        <family val="1"/>
        <charset val="204"/>
      </rPr>
      <t>3</t>
    </r>
    <r>
      <rPr>
        <sz val="10"/>
        <rFont val="Times New Roman"/>
        <family val="1"/>
        <charset val="204"/>
      </rPr>
      <t>В графе 3 отражаются:</t>
    </r>
  </si>
  <si>
    <t>проверка- д.б. нули</t>
  </si>
  <si>
    <t>4-бюдж (за искл договов, заключ в 2019 г)</t>
  </si>
  <si>
    <t>4-авт (за искл договов, заключ в 2019 г)</t>
  </si>
  <si>
    <t>5-авт</t>
  </si>
  <si>
    <t>2-авт</t>
  </si>
  <si>
    <t>2021 год</t>
  </si>
  <si>
    <t>2022 год</t>
  </si>
  <si>
    <t>\</t>
  </si>
  <si>
    <r>
      <rPr>
        <vertAlign val="superscript"/>
        <sz val="10"/>
        <rFont val="Times New Roman"/>
        <family val="1"/>
        <charset val="204"/>
      </rPr>
      <t>11</t>
    </r>
    <r>
      <rPr>
        <sz val="10"/>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t>
    </r>
  </si>
  <si>
    <r>
      <rPr>
        <vertAlign val="superscript"/>
        <sz val="10"/>
        <rFont val="Times New Roman"/>
        <family val="1"/>
        <charset val="204"/>
      </rPr>
      <t>12</t>
    </r>
    <r>
      <rPr>
        <sz val="10"/>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</si>
  <si>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0"/>
        <rFont val="Times New Roman"/>
        <family val="1"/>
        <charset val="204"/>
      </rPr>
      <t>13</t>
    </r>
    <r>
      <rPr>
        <sz val="10"/>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</si>
  <si>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0"/>
        <rFont val="Times New Roman"/>
        <family val="1"/>
        <charset val="204"/>
      </rPr>
      <t>14</t>
    </r>
    <r>
      <rPr>
        <sz val="10"/>
        <rFont val="Times New Roman"/>
        <family val="1"/>
        <charset val="204"/>
      </rPr>
      <t xml:space="preserve"> Государственным (муниципальным) бюджетным учреждением показатель не формируется.</t>
    </r>
  </si>
  <si>
    <r>
      <rPr>
        <vertAlign val="superscript"/>
        <sz val="10"/>
        <rFont val="Times New Roman"/>
        <family val="1"/>
        <charset val="204"/>
      </rPr>
      <t>15</t>
    </r>
    <r>
      <rPr>
        <sz val="10"/>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</si>
  <si>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10"/>
        <rFont val="Times New Roman"/>
        <family val="1"/>
        <charset val="204"/>
      </rPr>
      <t>16</t>
    </r>
    <r>
      <rPr>
        <sz val="10"/>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</si>
  <si>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2-ВНЕБЮДЖЕТ</t>
  </si>
  <si>
    <t>5-ИНЫЕ ЦЕЛИ</t>
  </si>
  <si>
    <t>Постановление по суду (взыскание по исковому заявлению)</t>
  </si>
  <si>
    <t>Взыскания пенсионного фонда</t>
  </si>
  <si>
    <t>Программное обеспечение (дополнительно)</t>
  </si>
  <si>
    <t>Мед осмотр</t>
  </si>
  <si>
    <t>Прочие доходы от сумм принудительного изъятия</t>
  </si>
  <si>
    <t>Гранты, пожертвования от организаций государственного сектора</t>
  </si>
  <si>
    <t>296</t>
  </si>
  <si>
    <t>264</t>
  </si>
  <si>
    <t>Страховые взносы на компенсацию расходов к проезду к месту отдыха</t>
  </si>
  <si>
    <r>
      <t>213</t>
    </r>
    <r>
      <rPr>
        <sz val="14"/>
        <color theme="0"/>
        <rFont val="Times New Roman"/>
        <family val="1"/>
        <charset val="204"/>
      </rPr>
      <t>.</t>
    </r>
  </si>
  <si>
    <t>262</t>
  </si>
  <si>
    <t>227</t>
  </si>
  <si>
    <t>услуги по страхованию имущества, гражданской ответственности и здоровья</t>
  </si>
  <si>
    <t>субсидия на выполн мун зад</t>
  </si>
  <si>
    <t>выплата компенсации родителям за обучение на дому детей-инвалидов</t>
  </si>
  <si>
    <t>из них:
пособия по социальной помощи населению в денежной форме</t>
  </si>
  <si>
    <t>пособия по социальной помощи, выплачиваемые работодателями, нанимателями бывшим работникам в натуральной форме</t>
  </si>
  <si>
    <t>265</t>
  </si>
  <si>
    <t>компенсация расходов, связанные с перездом из р-в Крайнего Севера;</t>
  </si>
  <si>
    <t>290</t>
  </si>
  <si>
    <t>уплата штрафов (в том числе административных), пеней, иных платежей</t>
  </si>
  <si>
    <t>пенсии, пособия, выплачиваемые работодателями, нанимателями бывшим работникам в денежной форме</t>
  </si>
  <si>
    <t>213.</t>
  </si>
  <si>
    <r>
      <rPr>
        <vertAlign val="superscript"/>
        <sz val="10"/>
        <rFont val="Times New Roman"/>
        <family val="1"/>
        <charset val="204"/>
      </rPr>
      <t>1</t>
    </r>
    <r>
      <rPr>
        <sz val="10"/>
        <rFont val="Times New Roman"/>
        <family val="1"/>
        <charset val="204"/>
      </rPr>
      <t xml:space="preserve"> В случае утверждения закона (решения) о бюджете на текущий финансовый год и плановый период.</t>
    </r>
  </si>
  <si>
    <r>
      <rPr>
        <vertAlign val="superscript"/>
        <sz val="10"/>
        <rFont val="Times New Roman"/>
        <family val="1"/>
        <charset val="204"/>
      </rPr>
      <t>4</t>
    </r>
    <r>
      <rPr>
        <sz val="10"/>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29.11.2017 № 209н.</t>
    </r>
  </si>
  <si>
    <r>
      <rPr>
        <vertAlign val="superscript"/>
        <sz val="10"/>
        <rFont val="Times New Roman"/>
        <family val="1"/>
        <charset val="204"/>
      </rPr>
      <t>5</t>
    </r>
    <r>
      <rPr>
        <sz val="10"/>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</si>
  <si>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0"/>
        <rFont val="Times New Roman"/>
        <family val="1"/>
        <charset val="204"/>
      </rPr>
      <t>6</t>
    </r>
    <r>
      <rPr>
        <sz val="10"/>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</si>
  <si>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0"/>
        <rFont val="Times New Roman"/>
        <family val="1"/>
        <charset val="204"/>
      </rPr>
      <t>7</t>
    </r>
    <r>
      <rPr>
        <sz val="10"/>
        <rFont val="Times New Roman"/>
        <family val="1"/>
        <charset val="204"/>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</si>
  <si>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0"/>
        <rFont val="Times New Roman"/>
        <family val="1"/>
        <charset val="204"/>
      </rPr>
      <t>8</t>
    </r>
    <r>
      <rPr>
        <sz val="10"/>
        <rFont val="Times New Roman"/>
        <family val="1"/>
        <charset val="204"/>
      </rPr>
      <t>_Показатель отражается со знаком «минус».</t>
    </r>
  </si>
  <si>
    <r>
      <rPr>
        <vertAlign val="superscript"/>
        <sz val="10"/>
        <rFont val="Times New Roman"/>
        <family val="1"/>
        <charset val="204"/>
      </rPr>
      <t>9</t>
    </r>
    <r>
      <rPr>
        <sz val="10"/>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</si>
  <si>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Директор</t>
  </si>
  <si>
    <t>Экономист</t>
  </si>
  <si>
    <t>24-54-29</t>
  </si>
  <si>
    <t>Х</t>
  </si>
  <si>
    <t>10</t>
  </si>
  <si>
    <t>9</t>
  </si>
  <si>
    <t>8</t>
  </si>
  <si>
    <t>7</t>
  </si>
  <si>
    <t>6</t>
  </si>
  <si>
    <t>11</t>
  </si>
  <si>
    <t>12</t>
  </si>
  <si>
    <t>(Договоров нет)</t>
  </si>
  <si>
    <t>Добровольные, гранты, оздоровительные</t>
  </si>
  <si>
    <t>МУНИЦИПАЛЬНОЕ БЮДЖЕТНОЕ ОБЩЕОБРАЗОВАТЕЛЬНОЕ УЧРЕЖДЕНИЕ Г. МУРМАНСКА "ГИМНАЗИЯ №1"</t>
  </si>
  <si>
    <t>473Ц4540</t>
  </si>
  <si>
    <t>целевые субсидии</t>
  </si>
  <si>
    <t>Приложение</t>
  </si>
  <si>
    <t>к Порядку составления и утверждения плана финансово-</t>
  </si>
  <si>
    <t>хозяйственной деятельности муниципальных бюджетных</t>
  </si>
  <si>
    <t>и автономных учреждений, подведомственных</t>
  </si>
  <si>
    <t>комитету по образованию администрации города Мурманска</t>
  </si>
  <si>
    <t>Обоснования (расчеты)</t>
  </si>
  <si>
    <t xml:space="preserve"> плановых показателей по поступлениям, использованные при формировании плана финансово-хозяйственной деятельности учреждения</t>
  </si>
  <si>
    <t>1. Обоснование (расчет) доходов от использования собственности</t>
  </si>
  <si>
    <t>Код аналитической группы подвида доходов</t>
  </si>
  <si>
    <t>№ п/п</t>
  </si>
  <si>
    <t>Планируемый объем предоставления имущества в аренду (в натуральных показателях)</t>
  </si>
  <si>
    <t>Средняя плата (тариф) арендной платы за единицу площади (объект), руб.</t>
  </si>
  <si>
    <t>Объем планируемых поступлений, руб.</t>
  </si>
  <si>
    <t>Доходы от использования имущества, находящегося в государственной собственности и переданного в аренду</t>
  </si>
  <si>
    <t>Помещения нежилые, кв. м</t>
  </si>
  <si>
    <t>АРЕНДА</t>
  </si>
  <si>
    <t>Движимое имущество, шт.</t>
  </si>
  <si>
    <t>Итого</t>
  </si>
  <si>
    <t>2. Обоснование (расчет) доходов от оказания услуг, работ, компенсации затрат учреждения</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</si>
  <si>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</si>
  <si>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</si>
  <si>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t>
  </si>
  <si>
    <t>Платные услуги</t>
  </si>
  <si>
    <t>Плановые поступления в порядке возмещения расходов, понесенных в связи с эксплуатацией имущества, находящегося в оперативном управлении  учреждения</t>
  </si>
  <si>
    <t>Наименование услуги (работы)</t>
  </si>
  <si>
    <t>Планируемый объем оказания услуг, выполнения работ (в натуральных показателях)</t>
  </si>
  <si>
    <t>Плата (тариф) за единицу оказания услуг (выполнения работ), руб.</t>
  </si>
  <si>
    <t>НЕ ЗАПОЛНЯЕМ</t>
  </si>
  <si>
    <t>Услуга 1, ед. изм.</t>
  </si>
  <si>
    <t>Услуга 2, ед. изм.</t>
  </si>
  <si>
    <t>Услуга 3, ед. изм.</t>
  </si>
  <si>
    <t>ПЛАТНЫЕ</t>
  </si>
  <si>
    <t>+ ПЛАТА ЗА ПИТАНИЕ?????</t>
  </si>
  <si>
    <t>3. Обоснование (расчет) доходов от штрафов, пеней, неустойки, возмещения ущерба</t>
  </si>
  <si>
    <t>Доходы от штрафов, пеней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нужд и нарушение условий контрактов (договоров)</t>
  </si>
  <si>
    <t>ШТРАФЫ И ПЕНИ ЗА НАРУШЕНИЯ ПО КОНТРАКТАМ</t>
  </si>
  <si>
    <t>Доходы от возмещения ущерба в соответствии с законодательством Российской Федерации</t>
  </si>
  <si>
    <t>4. Обоснование (расчет) доходов от безвозмездных денежных поступлений</t>
  </si>
  <si>
    <t>Поступления в форме грантов, предоставляемых в форме субсидий из бюджета</t>
  </si>
  <si>
    <t>БЮДЖЕТНЫЕ ГРАНТЫ</t>
  </si>
  <si>
    <t>по основаниям</t>
  </si>
  <si>
    <t>Поступления в форме пожервований и иные безвозмездные поступления от организаций государственного сектора</t>
  </si>
  <si>
    <t>Поступления в форме грантов от физических и юридических лиц</t>
  </si>
  <si>
    <t>ГРАНТЫ</t>
  </si>
  <si>
    <t>3.1</t>
  </si>
  <si>
    <t>Поступления в форме пожервований и иные безвозмездные поступления от физических и юридических лиц</t>
  </si>
  <si>
    <t>ДОБРОВОЛЬНЫЕ ПОЖЕР-Я И ЦЕЛЕ ФИН-Е</t>
  </si>
  <si>
    <t>5. Обоснование (расчет) прочих доходов</t>
  </si>
  <si>
    <t>Субсидия на иные цели</t>
  </si>
  <si>
    <t>Субсидия на осуществление капитальных вложений</t>
  </si>
  <si>
    <t>6. Обоснование (расчет) доходов от операций с активами</t>
  </si>
  <si>
    <t>Доходы от реализации материальных запасов</t>
  </si>
  <si>
    <t>Доходы от возмещения ущерба, выявленного в связи с недостачей продуктов питания</t>
  </si>
  <si>
    <t>НЕДОСТАЧИ СТ.340</t>
  </si>
  <si>
    <t>Доходы от возмещения ущерба, выявленного в связи с недостачей прочих материальных запасов</t>
  </si>
  <si>
    <t>7.Обоснование (расчет) прочих поступлений</t>
  </si>
  <si>
    <t>Доходы от возврата дебиторской задолженности прошлых лет</t>
  </si>
  <si>
    <t>ФСС, КОНТРАГЕНТЫ</t>
  </si>
  <si>
    <t>1. Обоснование (расчет) выплат персоналу</t>
  </si>
  <si>
    <t>1.1. Обоснование (расчет) расходов на фонд оплаты труда</t>
  </si>
  <si>
    <t>Код вида расходов</t>
  </si>
  <si>
    <t>Наименование должности</t>
  </si>
  <si>
    <t>Плановая средняя численность работников, учтенная в расчете, человек</t>
  </si>
  <si>
    <t>Среднемесячный размер оплаты труда на одного работника, руб.</t>
  </si>
  <si>
    <t>Районный коэффициент  (1,5), руб.</t>
  </si>
  <si>
    <t>Фонд оплаты труда в год, руб.</t>
  </si>
  <si>
    <t>всего</t>
  </si>
  <si>
    <t>базовая часть оплаты труда</t>
  </si>
  <si>
    <t>по выплатам компенсационного  характера и прочие выплаты</t>
  </si>
  <si>
    <t>по выплатам стимулирующего характера</t>
  </si>
  <si>
    <t>10 = 4*5*12мес.+ 9</t>
  </si>
  <si>
    <t>31. Расчет расходов (за исключением расходов на закупку товаров, работ, услуг) осуществляется раздельно по источникам их финансового обеспечения в случае принятия органом-учредителем решения о планировании указанных выплат раздельно по источникам их финансового обеспечения.</t>
  </si>
  <si>
    <t>Медицинский персонал</t>
  </si>
  <si>
    <t>Прочий персонал</t>
  </si>
  <si>
    <t>1.2 Обоснование (расчет) расходов на выплаты пособий за первые три дня временной нетрудоспособности за счет средств работодателя, в случае заболевания работника или полученной им травмы</t>
  </si>
  <si>
    <t>Наименование выплат</t>
  </si>
  <si>
    <t>Количество выплат в год, ед.</t>
  </si>
  <si>
    <t>Средний размер одной выплаты, руб.</t>
  </si>
  <si>
    <t>Объем планируемых выплат, руб.</t>
  </si>
  <si>
    <t>6 = 4*5</t>
  </si>
  <si>
    <t>9 = 7*8</t>
  </si>
  <si>
    <t>12 = 10*11</t>
  </si>
  <si>
    <t>Пособие за первые три дня временной нетрудоспособности при утрате трудоспособности вследствие заболевания или травмы</t>
  </si>
  <si>
    <t>1.3. Обоснование (расчет) расходов на прочие выплаты персоналу, в том числе компенсационного характера</t>
  </si>
  <si>
    <t>Выплаты работникам при направлении их в служебные командировки</t>
  </si>
  <si>
    <t>Возмещение должностным лицам расходов на приобретение проездных документов в служебных целях на все виды общественного транспорта</t>
  </si>
  <si>
    <t>Возмещение расходов на прохождение медицинских осмотров, гигиенической подготовки</t>
  </si>
  <si>
    <t>Ежемесячные компенсационные выплаты работникам, находящимся в отпуске по уходу за ребенком до достижения им возраста 3 лет</t>
  </si>
  <si>
    <t>Компенсация расходов на оплату стоимости проезда и провоза багажа к месту использования отпуска и обратно, для лиц, работающих в районах Крайнего Севера и приравненных к ним местностях, и членов их семей</t>
  </si>
  <si>
    <t xml:space="preserve">Выплата единовременного пособия </t>
  </si>
  <si>
    <t>Прочие выплаты</t>
  </si>
  <si>
    <t>1.3.1. Обоснование (расчет) выплат работникам при направлении их в служебные командировки</t>
  </si>
  <si>
    <t>Количество командируемых работников, чел.</t>
  </si>
  <si>
    <t>Количество дней нахождения в командировке, дней</t>
  </si>
  <si>
    <t>Средний размер выплаты на одного работника в день, руб.</t>
  </si>
  <si>
    <t>Коли чество дней нахож дения в коман дировке, дней</t>
  </si>
  <si>
    <t>Коли чество команди руемых работ ников, чел.</t>
  </si>
  <si>
    <t>6 = 3*4*5</t>
  </si>
  <si>
    <t>10 = 7*8*9</t>
  </si>
  <si>
    <t>13</t>
  </si>
  <si>
    <t>14 = 11*12*13</t>
  </si>
  <si>
    <t>1.3.2. Обоснование (расчет) расходов на возмещение должностным лицам расходов на приобретение проездных документов в служебных целях на все виды общественного транспорта</t>
  </si>
  <si>
    <t>Количество работников, чел.</t>
  </si>
  <si>
    <t>Количество поездок в год на одного работника, ед.</t>
  </si>
  <si>
    <t>Средний размер выплаты на одного работника за одну поездку, руб.</t>
  </si>
  <si>
    <t>1.3.3. Обоснование (расчет) возмещения работникам расходов на прохождение медицинского осмотра, гигиенической подготовки</t>
  </si>
  <si>
    <t>Количество получателей выплаты, чел.</t>
  </si>
  <si>
    <t>Средний размер выплаты на одного работника, руб.</t>
  </si>
  <si>
    <t>Объем планируемы х выплат, руб.</t>
  </si>
  <si>
    <t>5 = 3*4</t>
  </si>
  <si>
    <t>8 = 6*7</t>
  </si>
  <si>
    <t>11 = 9*10</t>
  </si>
  <si>
    <t>1.3.4.  Обоснование (расчет) выплат работникам пособий по уходу за ребенком</t>
  </si>
  <si>
    <t>Количество выплат в год на одного работника</t>
  </si>
  <si>
    <t>Размер выплаты (пособия) в месяц (руб.)</t>
  </si>
  <si>
    <t>1.3.5.  Обоснование (расчет) компенсация расходов на оплату стоимости проезда и провоза багажа к месту использования отпуска и обратно, для лиц, работающих в районах Крайнего Севера и приравненных к ним местностях, и членов их семей</t>
  </si>
  <si>
    <t xml:space="preserve">Размер стоимости проезда и 
провоза багажа, руб. </t>
  </si>
  <si>
    <t xml:space="preserve">1.3.6.  Обоснование (расчет) выплаты единовременного пособия </t>
  </si>
  <si>
    <t>Размер выплаты, руб.</t>
  </si>
  <si>
    <t>1.3.7.  Обоснование (расчет) по прочим выплатам</t>
  </si>
  <si>
    <t>1.4. Обоснование (расчет) расходов на иные выплаты, за исключением фонда оплаты труда учреждения, для выполнения отдельных полномочий</t>
  </si>
  <si>
    <t>1.5. Обоснование (расчет) страховых взносы по обязательному социальному страхованию на выплаты по оплате труда работников и иные выплаты работникам учреждений</t>
  </si>
  <si>
    <t>1.5.1 Обоснование (расчет) страховых взносы по обязательному социальному страхованию на выплаты по оплате труда работников</t>
  </si>
  <si>
    <t>Код видов расходов</t>
  </si>
  <si>
    <t>6 = 4*5/100</t>
  </si>
  <si>
    <t>9 = 7*8/100</t>
  </si>
  <si>
    <t>12 = 10*11/100</t>
  </si>
  <si>
    <t>С применением пониженных тарифов страховых взносов в Пенсионный фонд Российской Федерации для отдельных категорий плательщиков</t>
  </si>
  <si>
    <t>2.1</t>
  </si>
  <si>
    <t>2.2</t>
  </si>
  <si>
    <t>2.3</t>
  </si>
  <si>
    <t>2.4</t>
  </si>
  <si>
    <t>2.5</t>
  </si>
  <si>
    <t xml:space="preserve">1.5.2 Обоснование (расчет) страховых взносы по обязательному социальному страхованию на иные выплаты </t>
  </si>
  <si>
    <t>2. Обоснование (расчет) расходов на социальные и иные выплаты населению</t>
  </si>
  <si>
    <t>Наименование расходов</t>
  </si>
  <si>
    <t>Итого:</t>
  </si>
  <si>
    <t>Количество платежей в год, ед.</t>
  </si>
  <si>
    <t>5. Обоснование (расчет) расходов на закупку товаров, работ, услуг</t>
  </si>
  <si>
    <t>5.1. Обоснование (расчет) расходов на оплату услуг связи</t>
  </si>
  <si>
    <t>Количество номеров, услуг ед.</t>
  </si>
  <si>
    <t>Стоимость за единицу, руб.</t>
  </si>
  <si>
    <t>7 = 4*5*6</t>
  </si>
  <si>
    <t>11 = 8*9*10</t>
  </si>
  <si>
    <t>14</t>
  </si>
  <si>
    <t>15 = 12*13*14</t>
  </si>
  <si>
    <t>5.2. Обоснование (расчет) расходов на оплату транспортных услуг</t>
  </si>
  <si>
    <t>Количество услуг перевозки в год</t>
  </si>
  <si>
    <t>Цена услуги перевозки, руб.</t>
  </si>
  <si>
    <t>5.3. Обоснование (расчет) расходов на оплату коммунальных услуг</t>
  </si>
  <si>
    <t>Объем потребления ресурсов</t>
  </si>
  <si>
    <t>Тариф (с учетом НДС), руб.</t>
  </si>
  <si>
    <t>Электроснабжение</t>
  </si>
  <si>
    <t>Теплоснабжение</t>
  </si>
  <si>
    <t>Водоснабжение и водоотведение</t>
  </si>
  <si>
    <t>Обращение с твердыми коммунальными отходами</t>
  </si>
  <si>
    <t>5.4. Обоснование (расчет) расходов на оплату аренды имущества</t>
  </si>
  <si>
    <t>Объем услуги (в натуральных показателях)</t>
  </si>
  <si>
    <t>Ставка арендной платы, руб.</t>
  </si>
  <si>
    <t>5.5. Обоснование (расчет) расходов на оплату работ, услуг по содержанию имущества</t>
  </si>
  <si>
    <t>Количество работ (услуг)</t>
  </si>
  <si>
    <t>Стоимость работ (услуг), руб.</t>
  </si>
  <si>
    <t>5.6. Обоснование (расчет) расходов на оплату прочих работ, услуг</t>
  </si>
  <si>
    <t>Количество договоров, ед.</t>
  </si>
  <si>
    <t>Стоимость услуги по договору, руб.</t>
  </si>
  <si>
    <t>5.7. Обоснование (расчет) расходов на оплату услуг страхования</t>
  </si>
  <si>
    <t>5.8. Обоснование (расчет) расходов на оплату работ, услуг для целей капитальных вложений</t>
  </si>
  <si>
    <t>5.9. Обоснование (расчет) расходов на приобретение основных средств</t>
  </si>
  <si>
    <t>5.10. Обоснование (расчет) расходов на приобретение материальных запасов</t>
  </si>
  <si>
    <t>Цены за единицу, руб.</t>
  </si>
  <si>
    <t>6. Обоснование (расчет) расходов на капитальные вложения в объекты государственной собственности</t>
  </si>
  <si>
    <t>Площадь объекта, кв. м</t>
  </si>
  <si>
    <t>Цена за 1 кв. м, руб.</t>
  </si>
  <si>
    <t>Приобретение объектов недвижимого имущества государственными учреждениями</t>
  </si>
  <si>
    <t>По объектам</t>
  </si>
  <si>
    <t>Строительство (реконструкция) объектов недвижимого имущества государственными учреждениями</t>
  </si>
  <si>
    <t>(дата)</t>
  </si>
  <si>
    <t>Вывоз снега</t>
  </si>
  <si>
    <t>Тревожная кнопка</t>
  </si>
  <si>
    <t>Возвраты прошлых лет КВР 510</t>
  </si>
  <si>
    <t>Возвраты в бюджет КВР 610</t>
  </si>
  <si>
    <t xml:space="preserve">субсидия на иные цели </t>
  </si>
  <si>
    <t>Проверочная таблица</t>
  </si>
  <si>
    <t>Доходы с листа № 2</t>
  </si>
  <si>
    <t>2021г.</t>
  </si>
  <si>
    <t>2022г.</t>
  </si>
  <si>
    <t>Доходы этого листа</t>
  </si>
  <si>
    <t>Разинца</t>
  </si>
  <si>
    <t>ДОЛЖНО БЫТЬ 0</t>
  </si>
  <si>
    <t>(Здесь вносим свед-я из росписи расходов)</t>
  </si>
  <si>
    <t>Услуга 1, Программы дополнительного образования детей естественно-научной направленности</t>
  </si>
  <si>
    <t>Услуга 3, Программы дополнительного образования детей физкультурно-спортивной направленности</t>
  </si>
  <si>
    <t>Услуга 2, Программа адаптации детей дошкольного возраста к обучению в школе</t>
  </si>
  <si>
    <t>Услуга 4, Программы дополнительного образования детей математической направленности</t>
  </si>
  <si>
    <t>Они должны относиться к основной деятельности учреждения, а на их оказание выделяют бюджетные средства, если денег не выделяют, то указываем ниже</t>
  </si>
  <si>
    <t>сумма</t>
  </si>
  <si>
    <t>по должностному окладу   (расчет производиться: берем по ЗП-обр) первоначальный ставим за предыдущий год</t>
  </si>
  <si>
    <t>5 = 6+7+8</t>
  </si>
  <si>
    <t>Гигиеническая аттестация</t>
  </si>
  <si>
    <t>Компенсация расходов на оплату стоимости проезда и провоза багажа к месту использования отпуска и обратно</t>
  </si>
  <si>
    <t>Выплаты работникам пособий по уходу за ребенком</t>
  </si>
  <si>
    <t>Суточные</t>
  </si>
  <si>
    <t>Оплата проживания (включая расходы по оформлению документов и иных сборов)</t>
  </si>
  <si>
    <t>Оплата проезда (включая расходы по оформлению проездных документов и иных сборов)</t>
  </si>
  <si>
    <t>Источник финансового обеспечения: 02 - поступления от оказания услуг (выполнения работ) на платной основе и от иной приносящей доход деятельности</t>
  </si>
  <si>
    <t>Среднее количество минут муждугородней и международной телефонной связи</t>
  </si>
  <si>
    <t>Прочие расходы услуг связи</t>
  </si>
  <si>
    <t>Транспортные услуги</t>
  </si>
  <si>
    <t>Прочие услуги аренды</t>
  </si>
  <si>
    <t>Абоненская плата за предоставление услуг связи</t>
  </si>
  <si>
    <t>Услуги интернета</t>
  </si>
  <si>
    <t>Почтовые расходы</t>
  </si>
  <si>
    <t>Механизированная уборка и вывоз снега, уборка кровли</t>
  </si>
  <si>
    <t>Спиливание веток, деревьев</t>
  </si>
  <si>
    <t>Дератизация</t>
  </si>
  <si>
    <t>Дератизация территории объекта</t>
  </si>
  <si>
    <t>Дезинсекция</t>
  </si>
  <si>
    <t>Обследование объекта на заселенность членистоногими</t>
  </si>
  <si>
    <t>Обследование объекта на заселенность грызунами</t>
  </si>
  <si>
    <t>Услуги прачечной</t>
  </si>
  <si>
    <t>Камерная обработка вещей</t>
  </si>
  <si>
    <t>Ремонт учебного оборудования</t>
  </si>
  <si>
    <t>Ремонт прочего оборудования (снегоуборочные машины и т.п.)</t>
  </si>
  <si>
    <t>Техническое обслуживание АПС</t>
  </si>
  <si>
    <t>Техническое обслуживание КТС</t>
  </si>
  <si>
    <t>Техническое обслуживание БОПИ</t>
  </si>
  <si>
    <t>Перезарядка огнетушителей</t>
  </si>
  <si>
    <t>Огнезащитная обработка деревянных конструкций</t>
  </si>
  <si>
    <t>Испытание пожарных кранов, рукавов, устройств защитного заземления</t>
  </si>
  <si>
    <t>Ремонт компьютеров, оргтехники</t>
  </si>
  <si>
    <t>Услуги заправки тонера</t>
  </si>
  <si>
    <t>Техобслуживание и обеспечение функционирования сетей наружного освещения</t>
  </si>
  <si>
    <t>Ремонт и обслуживание системы видеонаблюдения</t>
  </si>
  <si>
    <t>Техобслуживание внутренних систем отопления</t>
  </si>
  <si>
    <t>Техобслуживание внутренних систем холодного и горячего водоснабжения, водоотведения</t>
  </si>
  <si>
    <t>Эксплуатация и техническое обслуживание электроустановки здания</t>
  </si>
  <si>
    <t>Техническое обслуживание электрических сетей</t>
  </si>
  <si>
    <t>Долевое участие в ТСЖ</t>
  </si>
  <si>
    <t>Обслуживание домофона, видеодомофона</t>
  </si>
  <si>
    <t>Проведение бактериологических исследований воздуха в помещениях</t>
  </si>
  <si>
    <t>Исследование пищи, воды бутилированной</t>
  </si>
  <si>
    <t>Поверка и ремонт весо-измерительных приборов (весов, манометров, водомеров и т.д.)</t>
  </si>
  <si>
    <t>Замеры электрооборудования</t>
  </si>
  <si>
    <t>Поверка диэлектрических средств</t>
  </si>
  <si>
    <t>Услуги по промывке и опрессовке бойлера</t>
  </si>
  <si>
    <t>Поверка оборудования узла учета тепловой энергии</t>
  </si>
  <si>
    <t>Диагностика шлагбаума</t>
  </si>
  <si>
    <t>Техническое обслуживание наружных систем канализации</t>
  </si>
  <si>
    <t>Техобслуживание тепломех-го оборудования</t>
  </si>
  <si>
    <t>Техническое обслуживание системы автоматического регулирования теплоносителя</t>
  </si>
  <si>
    <t>Техническое обслуживание узла учета тепловой энергии с системой диспетчеризации</t>
  </si>
  <si>
    <t>Прочие работы</t>
  </si>
  <si>
    <t>Вневедомственная охрана (тревожная кнопка)</t>
  </si>
  <si>
    <t>Обслуживание СБИС, СЭД, электронно-цифровой подписи</t>
  </si>
  <si>
    <t>Обслуживание программного обеспечения Кросс Д (дети)</t>
  </si>
  <si>
    <t>Приобретение прав на программное обеспечение</t>
  </si>
  <si>
    <t>Физкультурно-оздоровительные услуги</t>
  </si>
  <si>
    <t>Услуги тира по стрелковой подготовке детей</t>
  </si>
  <si>
    <t>Услуги по обеспечению правопорядка (физическая охрана)</t>
  </si>
  <si>
    <t>Спецоценка рабочих мест</t>
  </si>
  <si>
    <t>Курсы повышения квалификации,переподготовка, обучение сотрудников</t>
  </si>
  <si>
    <t>Медицинские осмотры сотрудников</t>
  </si>
  <si>
    <t>Сангигиеническое обучение</t>
  </si>
  <si>
    <t>Услуги по замерам освещенности, влажности воздуха</t>
  </si>
  <si>
    <t>Исследование питьевой воды, почвы</t>
  </si>
  <si>
    <t>Прочие услуги</t>
  </si>
  <si>
    <t>Оплата услуг по договорам приобретения проездных билетов и проживания для командированных</t>
  </si>
  <si>
    <t>Услуги стразования для участия в спортивных мероприятиях</t>
  </si>
  <si>
    <t>Библиотечный фонд</t>
  </si>
  <si>
    <t>Компьютерная техника, оргтехника, периферийные устройства</t>
  </si>
  <si>
    <t>Проекторы, интерактивное оборудование, экраны</t>
  </si>
  <si>
    <t>Мебель</t>
  </si>
  <si>
    <t>Бытовая техника</t>
  </si>
  <si>
    <t>Аудио-видео аппаратура</t>
  </si>
  <si>
    <t>Противопожарное оборудование</t>
  </si>
  <si>
    <t>Хозяйственное оборудование, инструменты</t>
  </si>
  <si>
    <t>Прочие основные средства</t>
  </si>
  <si>
    <t>Лекарственные препараты и материалы, применяемые в медицинских целях</t>
  </si>
  <si>
    <t>Продукты питания, бутылированная вода</t>
  </si>
  <si>
    <t>Спецодежда и спецобувь</t>
  </si>
  <si>
    <t>Прочие оборотные запасы и материалы</t>
  </si>
  <si>
    <t>Источник финансового обеспечения: 04 - субсидия на финансовое обеспечение выполнения муниципального задания</t>
  </si>
  <si>
    <t>ИТОГО</t>
  </si>
  <si>
    <t>Штрафы Роспотребнадзор и т.п.</t>
  </si>
  <si>
    <t>Ставка взноса. процент</t>
  </si>
  <si>
    <t>Размер базы для начисления страховых взносов. руб.</t>
  </si>
  <si>
    <t>Объем планируемых выплат. руб.</t>
  </si>
  <si>
    <t>Страховые взносы в Пенсионный фонд Российской Федерации. всего</t>
  </si>
  <si>
    <t>По ставке 22.0%</t>
  </si>
  <si>
    <t>По ставке 10.0%</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</si>
  <si>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</si>
  <si>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</si>
  <si>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</si>
  <si>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</si>
  <si>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0._% *</t>
  </si>
  <si>
    <t>Страховые взносы в Федеральный фонд обязательного медицинского страхования. всего (по ставке 5.1%)</t>
  </si>
  <si>
    <t>Количество выплат в год. ед.</t>
  </si>
  <si>
    <t>Средний размер одной выплаты. руб.</t>
  </si>
  <si>
    <t>Выплаты компенсаций затрат родителей. организующих образование ребенка-инвалида на дому в форме семейного образования</t>
  </si>
  <si>
    <t>3. Обоснование (расчет) расходов на уплату налогов. сборов и иных платежей</t>
  </si>
  <si>
    <t>3.1. Обоснование (расчет) расходов на уплату налога на имущество организаций. земельного налога</t>
  </si>
  <si>
    <t>Налоговая база. руб.</t>
  </si>
  <si>
    <t>Ставка налога. процент</t>
  </si>
  <si>
    <t>3.2. Обоснование (расчет) расходов на уплату прочих налогов. сборов и иных платежей</t>
  </si>
  <si>
    <t>Размер платежа. руб.</t>
  </si>
  <si>
    <t>Количество платежей в год. ед.</t>
  </si>
  <si>
    <t>3.3. Обоснование (расчет) расходов на уплату штрафов. пеней и иных платежей</t>
  </si>
  <si>
    <t>4. Обоснование (расчет) прочих расходов (кроме расходов на закупку товаров. работ. услуг)</t>
  </si>
  <si>
    <t>шт.</t>
  </si>
  <si>
    <t>6 = 4 * 5</t>
  </si>
  <si>
    <t>9 = 7 * 8</t>
  </si>
  <si>
    <t>7 = 5 * 6</t>
  </si>
  <si>
    <t>10 =  * 9</t>
  </si>
  <si>
    <t>12 = 11 * 12</t>
  </si>
  <si>
    <t>Гкал</t>
  </si>
  <si>
    <t>кВт/ч</t>
  </si>
  <si>
    <t>куб. м.</t>
  </si>
  <si>
    <t>л.</t>
  </si>
  <si>
    <t xml:space="preserve">Источник финансового обеспечения: 05 - субсидии, предоставляемые в соответствии с абзацем вторым пункта 1 статьи 78.1 Бюджетного кодекса Российской </t>
  </si>
  <si>
    <t>Обоснования (расчеты) плановых показателей по расходам,
 использованные при формировании 
плана финансово-хозяйственной деятельности учреждения</t>
  </si>
  <si>
    <t>Штрафы. пени за несвоевременную уплату налогов. сборов. страховых взносов</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</si>
  <si>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t>
  </si>
  <si>
    <t>Объем закупок, шт.</t>
  </si>
  <si>
    <t>Средняя стоимость  объекта, руб.</t>
  </si>
  <si>
    <t>2.1. Обоснование (расчет) доходов от оказания услуг, выполнения работ в рамках установленного муниципального задания</t>
  </si>
  <si>
    <t>2.2. Обоснование (расчет) доходов от оказания услуг, выполнения работ сверх установленного государственного задания</t>
  </si>
  <si>
    <t>ставим с минусом</t>
  </si>
  <si>
    <t>Внутризоновые соединения</t>
  </si>
  <si>
    <t>остаток на начало года</t>
  </si>
  <si>
    <t>возврат прошлых лет</t>
  </si>
  <si>
    <t>Возврат в бюджет</t>
  </si>
  <si>
    <t>Разница</t>
  </si>
  <si>
    <t>Штрафы. пени за нарушение законодательства Российской Федерации о закупках товаров. работ и услуг. а также штрафных санкций за нарушение условий контрактов (договоров) по поставке товаров. выполнению работ. оказанию услуг</t>
  </si>
  <si>
    <t>Компенсация выплаты по ставке рефинансирования за задержку заработной платы</t>
  </si>
  <si>
    <t>Питание детей</t>
  </si>
  <si>
    <t>Спецодежда и спецобувь, мягкий инвентарь</t>
  </si>
  <si>
    <t>Подписка на периодические, электронные издания</t>
  </si>
  <si>
    <t>Спортивное оборудование, снаряжение</t>
  </si>
  <si>
    <t>Из ЗП - образования за предыдущий отчетный период</t>
  </si>
  <si>
    <t>средняя численность</t>
  </si>
  <si>
    <t>Внесли исправления в лист 2 строка 22 и 23 гранты 150/152</t>
  </si>
  <si>
    <t>Внесли исправления в лист Расходы 119, так как не получалось по подсчетам итоговой суммы именно в налогах (ПФР, страх)</t>
  </si>
  <si>
    <t xml:space="preserve">               увеличение стоимости права пользования</t>
  </si>
  <si>
    <t xml:space="preserve">        закупку энергетических ресурсов</t>
  </si>
  <si>
    <t>247</t>
  </si>
  <si>
    <t>2023 год</t>
  </si>
  <si>
    <t>2023г.</t>
  </si>
  <si>
    <t>на 2023 год (на второй год планового периода)</t>
  </si>
  <si>
    <t>на 2023 год 
(на второй год планового периода)</t>
  </si>
  <si>
    <t>на 2022 год (на первый год планового периода)</t>
  </si>
  <si>
    <t>на 2022 год 
(на первый год планового периода)</t>
  </si>
  <si>
    <t>на 2022 год
 (на первый год планового периода)</t>
  </si>
  <si>
    <t>План финансово-хозяйственной деятельности на 2021 год</t>
  </si>
  <si>
    <t>(на 2021 год и плановый период 2022 и 2023 годов1)</t>
  </si>
  <si>
    <t>на 2021 год и плановый период 2022 и 2023 годов</t>
  </si>
  <si>
    <t>на 2021 год (на текущий финансовый год)</t>
  </si>
  <si>
    <t>на 2021 год 
(на текущий финансовый год)</t>
  </si>
  <si>
    <t>Внесли исправления в лист Расходы 119, пункт 1.5.2 по иным целям, формулы привязаны были к 2021г. Исправлено</t>
  </si>
  <si>
    <t>Теплоэнергия, Электроэнергия</t>
  </si>
  <si>
    <t>Водоснабжение</t>
  </si>
  <si>
    <t>Водоснабжение, вывоз мусора</t>
  </si>
  <si>
    <t>увеличение стоимости права пользования</t>
  </si>
  <si>
    <t>для  учреждений</t>
  </si>
  <si>
    <t>3756К</t>
  </si>
  <si>
    <t>4-бюдж (за искл договов, заключ в 2020 г)</t>
  </si>
  <si>
    <t>4-авт (за искл договов, заключ в 2020 г)</t>
  </si>
  <si>
    <t>« 31 » декабря 2020 г.</t>
  </si>
  <si>
    <r>
      <t xml:space="preserve">от 31 декабря 2020 г. </t>
    </r>
    <r>
      <rPr>
        <vertAlign val="superscript"/>
        <sz val="14"/>
        <rFont val="Times New Roman"/>
        <family val="1"/>
        <charset val="204"/>
      </rPr>
      <t>2</t>
    </r>
  </si>
  <si>
    <t>Тушина М.О.</t>
  </si>
  <si>
    <t>МБОУ г. МУРМАНСКА "МПЛ"</t>
  </si>
  <si>
    <t>Шовская Т.В.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</si>
</sst>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quot;р.&quot;_-;\-* #,##0.00&quot;р.&quot;_-;_-* &quot;-&quot;??&quot;р.&quot;_-;_-@_-"/>
    <numFmt numFmtId="165" formatCode="_-* #,##0.00_р_._-;\-* #,##0.00_р_._-;_-* &quot;-&quot;??_р_._-;_-@_-"/>
    <numFmt numFmtId="166" formatCode="[$-F800]dddd\,\ mmmm\ dd\,\ yyyy"/>
    <numFmt numFmtId="167" formatCode="#,##0.00_ ;[Red]\-#,##0.00\ "/>
    <numFmt numFmtId="168" formatCode="#,##0.000000000000_ ;[Red]\-#,##0.000000000000\ "/>
    <numFmt numFmtId="169" formatCode="#,##0_ ;[Red]\-#,##0\ "/>
  </numFmts>
  <fonts count="58"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vertAlign val="superscript"/>
      <sz val="8"/>
      <name val="Times New Roman"/>
      <family val="1"/>
      <charset val="204"/>
    </font>
    <font>
      <sz val="6"/>
      <name val="Times New Roman"/>
      <family val="1"/>
      <charset val="204"/>
    </font>
    <font>
      <b/>
      <vertAlign val="superscript"/>
      <sz val="8"/>
      <name val="Times New Roman"/>
      <family val="1"/>
      <charset val="204"/>
    </font>
    <font>
      <sz val="10"/>
      <name val="Times New Roman"/>
      <family val="1"/>
      <charset val="204"/>
    </font>
    <font>
      <sz val="11"/>
      <name val="Times New Roman"/>
      <family val="1"/>
      <charset val="204"/>
    </font>
    <font>
      <sz val="12"/>
      <name val="Times New Roman"/>
      <family val="1"/>
      <charset val="204"/>
    </font>
    <font>
      <b/>
      <sz val="12"/>
      <name val="Times New Roman"/>
      <family val="1"/>
      <charset val="204"/>
    </font>
    <font>
      <sz val="14"/>
      <name val="Times New Roman"/>
      <family val="1"/>
      <charset val="204"/>
    </font>
    <font>
      <sz val="14"/>
      <name val="Arial Cyr"/>
      <charset val="204"/>
    </font>
    <font>
      <b/>
      <sz val="14"/>
      <name val="Times New Roman"/>
      <family val="1"/>
      <charset val="204"/>
    </font>
    <font>
      <vertAlign val="superscript"/>
      <sz val="12"/>
      <name val="Times New Roman"/>
      <family val="1"/>
      <charset val="204"/>
    </font>
    <font>
      <b/>
      <vertAlign val="superscript"/>
      <sz val="12"/>
      <name val="Times New Roman"/>
      <family val="1"/>
      <charset val="204"/>
    </font>
    <font>
      <vertAlign val="superscript"/>
      <sz val="14"/>
      <name val="Times New Roman"/>
      <family val="1"/>
      <charset val="204"/>
    </font>
    <font>
      <b/>
      <vertAlign val="superscript"/>
      <sz val="14"/>
      <name val="Times New Roman"/>
      <family val="1"/>
      <charset val="204"/>
    </font>
    <font>
      <b/>
      <sz val="11"/>
      <color theme="1"/>
      <name val="Calibri"/>
      <family val="2"/>
      <charset val="204"/>
      <scheme val="minor"/>
    </font>
    <font>
      <sz val="14"/>
      <color theme="1"/>
      <name val="Times New Roman"/>
      <family val="1"/>
      <charset val="204"/>
    </font>
    <font>
      <u/>
      <sz val="11"/>
      <color theme="10"/>
      <name val="Calibri"/>
      <family val="2"/>
      <charset val="204"/>
      <scheme val="minor"/>
    </font>
    <font>
      <sz val="12"/>
      <color theme="1"/>
      <name val="Times New Roman"/>
      <family val="1"/>
      <charset val="204"/>
    </font>
    <font>
      <b/>
      <sz val="14"/>
      <color theme="1"/>
      <name val="Times New Roman"/>
      <family val="1"/>
      <charset val="204"/>
    </font>
    <font>
      <b/>
      <sz val="12"/>
      <color theme="1"/>
      <name val="Times New Roman"/>
      <family val="1"/>
      <charset val="204"/>
    </font>
    <font>
      <sz val="11"/>
      <name val="Calibri"/>
      <family val="2"/>
      <charset val="204"/>
      <scheme val="minor"/>
    </font>
    <font>
      <sz val="8"/>
      <name val="Arial"/>
      <family val="2"/>
    </font>
    <font>
      <u/>
      <sz val="14"/>
      <color theme="10"/>
      <name val="Times New Roman"/>
      <family val="1"/>
      <charset val="204"/>
    </font>
    <font>
      <sz val="12"/>
      <color theme="1"/>
      <name val="Calibri"/>
      <family val="2"/>
      <charset val="204"/>
      <scheme val="minor"/>
    </font>
    <font>
      <b/>
      <sz val="18"/>
      <color indexed="81"/>
      <name val="Times New Roman"/>
      <family val="1"/>
      <charset val="204"/>
    </font>
    <font>
      <b/>
      <sz val="14"/>
      <color indexed="81"/>
      <name val="Tahoma"/>
      <family val="2"/>
      <charset val="204"/>
    </font>
    <font>
      <b/>
      <sz val="12"/>
      <color indexed="81"/>
      <name val="Times New Roman"/>
      <family val="1"/>
      <charset val="204"/>
    </font>
    <font>
      <sz val="10"/>
      <color rgb="FF000000"/>
      <name val="Times New Roman"/>
      <family val="1"/>
      <charset val="204"/>
    </font>
    <font>
      <sz val="11"/>
      <color theme="1"/>
      <name val="Times New Roman"/>
      <family val="1"/>
      <charset val="204"/>
    </font>
    <font>
      <i/>
      <sz val="11"/>
      <color theme="3" tint="0.39997558519241921"/>
      <name val="Times New Roman"/>
      <family val="1"/>
      <charset val="204"/>
    </font>
    <font>
      <vertAlign val="superscript"/>
      <sz val="10"/>
      <name val="Times New Roman"/>
      <family val="1"/>
      <charset val="204"/>
    </font>
    <font>
      <sz val="14"/>
      <color theme="0"/>
      <name val="Times New Roman"/>
      <family val="1"/>
      <charset val="204"/>
    </font>
    <font>
      <sz val="8"/>
      <color rgb="FF000000"/>
      <name val="Arial"/>
      <family val="2"/>
      <charset val="204"/>
    </font>
    <font>
      <b/>
      <sz val="10"/>
      <name val="Times New Roman"/>
      <family val="1"/>
      <charset val="204"/>
    </font>
    <font>
      <sz val="10"/>
      <color rgb="FFFF0000"/>
      <name val="Times New Roman"/>
      <family val="1"/>
      <charset val="204"/>
    </font>
    <font>
      <sz val="9"/>
      <name val="Times New Roman"/>
      <family val="1"/>
      <charset val="204"/>
    </font>
    <font>
      <sz val="10"/>
      <name val="Arial"/>
      <family val="2"/>
      <charset val="204"/>
    </font>
    <font>
      <sz val="9"/>
      <color rgb="FFFF0000"/>
      <name val="Times New Roman"/>
      <family val="1"/>
      <charset val="204"/>
    </font>
    <font>
      <sz val="8"/>
      <name val="Times New Roman"/>
      <family val="1"/>
      <charset val="204"/>
    </font>
    <font>
      <sz val="10"/>
      <color rgb="FFFF0000"/>
      <name val="Arial"/>
      <family val="2"/>
      <charset val="204"/>
    </font>
    <font>
      <b/>
      <sz val="11"/>
      <name val="Times New Roman"/>
      <family val="1"/>
      <charset val="204"/>
    </font>
    <font>
      <b/>
      <sz val="11"/>
      <color theme="1"/>
      <name val="Times New Roman"/>
      <family val="1"/>
      <charset val="204"/>
    </font>
    <font>
      <b/>
      <sz val="18"/>
      <name val="Times New Roman"/>
      <family val="1"/>
      <charset val="204"/>
    </font>
    <font>
      <sz val="12"/>
      <name val="Arial Cyr"/>
      <charset val="204"/>
    </font>
    <font>
      <b/>
      <sz val="12"/>
      <name val="Arial Cyr"/>
      <charset val="204"/>
    </font>
    <font>
      <sz val="12"/>
      <name val="Arial"/>
      <family val="2"/>
      <charset val="204"/>
    </font>
    <font>
      <b/>
      <sz val="12"/>
      <name val="Arial"/>
      <family val="2"/>
      <charset val="204"/>
    </font>
    <font>
      <sz val="16"/>
      <name val="Times New Roman"/>
      <family val="1"/>
      <charset val="204"/>
    </font>
    <font>
      <sz val="16"/>
      <color rgb="FFFF0000"/>
      <name val="Times New Roman"/>
      <family val="1"/>
      <charset val="204"/>
    </font>
    <font>
      <b/>
      <sz val="14"/>
      <name val="Arial"/>
      <family val="2"/>
      <charset val="204"/>
    </font>
    <font>
      <b/>
      <sz val="16"/>
      <name val="Times New Roman"/>
      <family val="1"/>
      <charset val="204"/>
    </font>
  </fonts>
  <fills count="12">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6" tint="0.59999389629810485"/>
        <bgColor indexed="64"/>
      </patternFill>
    </fill>
  </fills>
  <borders count="119">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top style="hair">
        <color auto="1"/>
      </top>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hair">
        <color auto="1"/>
      </left>
      <right style="thin">
        <color auto="1"/>
      </right>
      <top style="hair">
        <color auto="1"/>
      </top>
      <bottom/>
      <diagonal/>
    </border>
    <border>
      <left style="thin">
        <color indexed="64"/>
      </left>
      <right style="thin">
        <color indexed="64"/>
      </right>
      <top/>
      <bottom style="hair">
        <color indexed="64"/>
      </bottom>
      <diagonal/>
    </border>
    <border>
      <left style="hair">
        <color auto="1"/>
      </left>
      <right style="thin">
        <color auto="1"/>
      </right>
      <top/>
      <bottom style="hair">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thin">
        <color indexed="64"/>
      </bottom>
      <diagonal/>
    </border>
    <border>
      <left/>
      <right style="mediumDashDotDot">
        <color auto="1"/>
      </right>
      <top/>
      <bottom style="thin">
        <color indexed="64"/>
      </bottom>
      <diagonal/>
    </border>
    <border>
      <left style="mediumDashDotDot">
        <color auto="1"/>
      </left>
      <right/>
      <top style="thin">
        <color indexed="64"/>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right style="mediumDashDotDot">
        <color auto="1"/>
      </right>
      <top style="thin">
        <color indexed="64"/>
      </top>
      <bottom/>
      <diagonal/>
    </border>
    <border>
      <left/>
      <right/>
      <top/>
      <bottom style="hair">
        <color auto="1"/>
      </bottom>
      <diagonal/>
    </border>
    <border>
      <left/>
      <right/>
      <top style="hair">
        <color indexed="64"/>
      </top>
      <bottom style="hair">
        <color indexed="64"/>
      </bottom>
      <diagonal/>
    </border>
    <border>
      <left/>
      <right/>
      <top style="hair">
        <color indexed="64"/>
      </top>
      <bottom/>
      <diagonal/>
    </border>
    <border>
      <left/>
      <right/>
      <top style="hair">
        <color auto="1"/>
      </top>
      <bottom style="thin">
        <color auto="1"/>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diagonal/>
    </border>
    <border>
      <left style="thin">
        <color auto="1"/>
      </left>
      <right/>
      <top/>
      <bottom style="hair">
        <color auto="1"/>
      </bottom>
      <diagonal/>
    </border>
    <border>
      <left/>
      <right style="hair">
        <color indexed="64"/>
      </right>
      <top/>
      <bottom style="hair">
        <color indexed="64"/>
      </bottom>
      <diagonal/>
    </border>
    <border>
      <left/>
      <right style="thin">
        <color auto="1"/>
      </right>
      <top/>
      <bottom style="hair">
        <color auto="1"/>
      </bottom>
      <diagonal/>
    </border>
    <border>
      <left/>
      <right/>
      <top style="hair">
        <color indexed="64"/>
      </top>
      <bottom style="double">
        <color auto="1"/>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style="double">
        <color auto="1"/>
      </top>
      <bottom/>
      <diagonal/>
    </border>
    <border>
      <left/>
      <right/>
      <top style="double">
        <color auto="1"/>
      </top>
      <bottom style="hair">
        <color indexed="64"/>
      </bottom>
      <diagonal/>
    </border>
    <border>
      <left style="hair">
        <color indexed="64"/>
      </left>
      <right style="hair">
        <color indexed="64"/>
      </right>
      <top style="double">
        <color auto="1"/>
      </top>
      <bottom style="hair">
        <color indexed="64"/>
      </bottom>
      <diagonal/>
    </border>
    <border>
      <left/>
      <right style="hair">
        <color indexed="64"/>
      </right>
      <top style="hair">
        <color indexed="64"/>
      </top>
      <bottom style="thin">
        <color indexed="64"/>
      </bottom>
      <diagonal/>
    </border>
    <border>
      <left/>
      <right/>
      <top/>
      <bottom style="medium">
        <color auto="1"/>
      </bottom>
      <diagonal/>
    </border>
    <border>
      <left/>
      <right/>
      <top style="hair">
        <color indexed="64"/>
      </top>
      <bottom style="medium">
        <color auto="1"/>
      </bottom>
      <diagonal/>
    </border>
    <border>
      <left/>
      <right style="hair">
        <color indexed="64"/>
      </right>
      <top style="hair">
        <color indexed="64"/>
      </top>
      <bottom style="medium">
        <color auto="1"/>
      </bottom>
      <diagonal/>
    </border>
    <border>
      <left style="hair">
        <color indexed="64"/>
      </left>
      <right style="hair">
        <color indexed="64"/>
      </right>
      <top style="hair">
        <color indexed="64"/>
      </top>
      <bottom style="medium">
        <color auto="1"/>
      </bottom>
      <diagonal/>
    </border>
    <border>
      <left style="hair">
        <color indexed="64"/>
      </left>
      <right style="hair">
        <color indexed="64"/>
      </right>
      <top style="medium">
        <color auto="1"/>
      </top>
      <bottom style="hair">
        <color indexed="64"/>
      </bottom>
      <diagonal/>
    </border>
    <border>
      <left style="thin">
        <color auto="1"/>
      </left>
      <right/>
      <top style="medium">
        <color auto="1"/>
      </top>
      <bottom style="hair">
        <color auto="1"/>
      </bottom>
      <diagonal/>
    </border>
    <border>
      <left/>
      <right style="hair">
        <color indexed="64"/>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auto="1"/>
      </bottom>
      <diagonal/>
    </border>
    <border>
      <left/>
      <right/>
      <top style="medium">
        <color auto="1"/>
      </top>
      <bottom/>
      <diagonal/>
    </border>
    <border>
      <left style="hair">
        <color indexed="64"/>
      </left>
      <right style="hair">
        <color indexed="64"/>
      </right>
      <top/>
      <bottom style="medium">
        <color auto="1"/>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bottom style="double">
        <color auto="1"/>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hair">
        <color auto="1"/>
      </top>
      <bottom/>
      <diagonal/>
    </border>
    <border>
      <left style="hair">
        <color auto="1"/>
      </left>
      <right/>
      <top/>
      <bottom style="hair">
        <color auto="1"/>
      </bottom>
      <diagonal/>
    </border>
    <border>
      <left style="hair">
        <color indexed="64"/>
      </left>
      <right/>
      <top style="thin">
        <color indexed="64"/>
      </top>
      <bottom/>
      <diagonal/>
    </border>
    <border>
      <left style="hair">
        <color auto="1"/>
      </left>
      <right style="thin">
        <color auto="1"/>
      </right>
      <top/>
      <bottom/>
      <diagonal/>
    </border>
    <border>
      <left style="thin">
        <color rgb="FF000000"/>
      </left>
      <right style="thin">
        <color rgb="FF000000"/>
      </right>
      <top/>
      <bottom style="thin">
        <color rgb="FF000000"/>
      </bottom>
      <diagonal/>
    </border>
    <border>
      <left/>
      <right/>
      <top style="thin">
        <color auto="1"/>
      </top>
      <bottom style="thin">
        <color auto="1"/>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auto="1"/>
      </left>
      <right/>
      <top/>
      <bottom/>
      <diagonal/>
    </border>
    <border>
      <left/>
      <right style="medium">
        <color indexed="64"/>
      </right>
      <top/>
      <bottom style="medium">
        <color indexed="64"/>
      </bottom>
      <diagonal/>
    </border>
  </borders>
  <cellStyleXfs count="12">
    <xf numFmtId="0" fontId="0" fillId="0" borderId="0"/>
    <xf numFmtId="0" fontId="6" fillId="0" borderId="0"/>
    <xf numFmtId="0" fontId="23" fillId="0" borderId="0" applyNumberFormat="0" applyFill="0" applyBorder="0" applyAlignment="0" applyProtection="0"/>
    <xf numFmtId="0" fontId="28" fillId="0" borderId="0"/>
    <xf numFmtId="164" fontId="34" fillId="0" borderId="0">
      <alignment vertical="top" wrapText="1"/>
    </xf>
    <xf numFmtId="165" fontId="34" fillId="0" borderId="0" applyFont="0" applyFill="0" applyBorder="0" applyAlignment="0" applyProtection="0"/>
    <xf numFmtId="4" fontId="39" fillId="0" borderId="111">
      <alignment horizontal="right" wrapText="1"/>
    </xf>
    <xf numFmtId="164" fontId="34" fillId="0" borderId="0">
      <alignment vertical="top" wrapText="1"/>
    </xf>
    <xf numFmtId="164" fontId="34" fillId="0" borderId="0">
      <alignment vertical="top" wrapText="1"/>
    </xf>
    <xf numFmtId="164" fontId="34" fillId="0" borderId="0">
      <alignment vertical="top" wrapText="1"/>
    </xf>
    <xf numFmtId="0" fontId="5" fillId="0" borderId="0"/>
    <xf numFmtId="0" fontId="3" fillId="0" borderId="0"/>
  </cellStyleXfs>
  <cellXfs count="1299">
    <xf numFmtId="0" fontId="0" fillId="0" borderId="0" xfId="0"/>
    <xf numFmtId="0" fontId="8" fillId="0" borderId="0" xfId="0" applyNumberFormat="1" applyFont="1" applyBorder="1" applyAlignment="1">
      <alignment horizontal="left"/>
    </xf>
    <xf numFmtId="0" fontId="12" fillId="0" borderId="0" xfId="0" applyNumberFormat="1" applyFont="1" applyBorder="1" applyAlignment="1">
      <alignment horizontal="left"/>
    </xf>
    <xf numFmtId="0" fontId="14" fillId="0" borderId="0" xfId="0" applyNumberFormat="1" applyFont="1" applyBorder="1" applyAlignment="1">
      <alignment horizontal="left"/>
    </xf>
    <xf numFmtId="0" fontId="15" fillId="0" borderId="0" xfId="0" applyFont="1"/>
    <xf numFmtId="0" fontId="16" fillId="0" borderId="0" xfId="0" applyNumberFormat="1" applyFont="1" applyBorder="1" applyAlignment="1">
      <alignment horizontal="left"/>
    </xf>
    <xf numFmtId="0" fontId="14" fillId="0" borderId="0" xfId="0" applyNumberFormat="1" applyFont="1" applyBorder="1" applyAlignment="1"/>
    <xf numFmtId="0" fontId="12" fillId="0" borderId="0" xfId="0" applyFont="1" applyAlignment="1">
      <alignment vertical="center"/>
    </xf>
    <xf numFmtId="0" fontId="12" fillId="0" borderId="0" xfId="0" applyNumberFormat="1" applyFont="1" applyBorder="1" applyAlignment="1">
      <alignment horizontal="center" vertical="center" wrapText="1"/>
    </xf>
    <xf numFmtId="0" fontId="14" fillId="0" borderId="0" xfId="0" applyNumberFormat="1" applyFont="1" applyBorder="1" applyAlignment="1">
      <alignment horizontal="left" vertical="center" wrapText="1"/>
    </xf>
    <xf numFmtId="0" fontId="14" fillId="0" borderId="0" xfId="0" applyNumberFormat="1" applyFont="1" applyBorder="1" applyAlignment="1">
      <alignment vertical="center" wrapText="1"/>
    </xf>
    <xf numFmtId="0" fontId="15" fillId="0" borderId="0" xfId="0" applyFont="1" applyBorder="1" applyAlignment="1">
      <alignment horizontal="left" vertical="center" indent="1"/>
    </xf>
    <xf numFmtId="0" fontId="10" fillId="0" borderId="0" xfId="0" applyFont="1"/>
    <xf numFmtId="0" fontId="12" fillId="0" borderId="0" xfId="0" applyFont="1"/>
    <xf numFmtId="0" fontId="14" fillId="0" borderId="11" xfId="0" applyNumberFormat="1" applyFont="1" applyBorder="1" applyAlignment="1"/>
    <xf numFmtId="49" fontId="13" fillId="0" borderId="3" xfId="0" applyNumberFormat="1"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49" fontId="12" fillId="0" borderId="42" xfId="0" applyNumberFormat="1" applyFont="1" applyBorder="1" applyAlignment="1">
      <alignment horizontal="center" vertical="center"/>
    </xf>
    <xf numFmtId="49" fontId="12" fillId="0" borderId="43" xfId="0" applyNumberFormat="1" applyFont="1" applyBorder="1" applyAlignment="1">
      <alignment horizontal="center" vertical="center"/>
    </xf>
    <xf numFmtId="49" fontId="13" fillId="0" borderId="42" xfId="0" applyNumberFormat="1" applyFont="1" applyBorder="1" applyAlignment="1">
      <alignment horizontal="center" vertical="center"/>
    </xf>
    <xf numFmtId="49" fontId="13" fillId="0" borderId="43"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44" xfId="0" applyNumberFormat="1" applyFont="1" applyBorder="1" applyAlignment="1">
      <alignment horizontal="center" vertical="center"/>
    </xf>
    <xf numFmtId="0" fontId="12" fillId="0" borderId="0" xfId="0" applyFont="1" applyBorder="1" applyAlignment="1">
      <alignment vertical="center"/>
    </xf>
    <xf numFmtId="49" fontId="12" fillId="0" borderId="0" xfId="0" applyNumberFormat="1" applyFont="1" applyBorder="1" applyAlignment="1">
      <alignment horizontal="center" vertical="center"/>
    </xf>
    <xf numFmtId="49" fontId="12" fillId="0" borderId="0" xfId="0" applyNumberFormat="1" applyFont="1" applyBorder="1" applyAlignment="1">
      <alignment vertical="center"/>
    </xf>
    <xf numFmtId="0" fontId="12" fillId="0" borderId="0" xfId="0" applyFont="1" applyBorder="1"/>
    <xf numFmtId="49" fontId="12" fillId="0" borderId="0" xfId="0" applyNumberFormat="1" applyFont="1" applyBorder="1" applyAlignment="1">
      <alignment horizontal="left" vertical="center" wrapText="1" indent="1"/>
    </xf>
    <xf numFmtId="49" fontId="12" fillId="0" borderId="3" xfId="0" applyNumberFormat="1" applyFont="1" applyBorder="1" applyAlignment="1">
      <alignment horizontal="left" vertical="center" wrapText="1" indent="1"/>
    </xf>
    <xf numFmtId="49" fontId="12" fillId="0" borderId="39" xfId="0" applyNumberFormat="1" applyFont="1" applyBorder="1" applyAlignment="1">
      <alignment horizontal="left" vertical="center" wrapText="1" indent="3"/>
    </xf>
    <xf numFmtId="49" fontId="12" fillId="0" borderId="40" xfId="0" applyNumberFormat="1" applyFont="1" applyBorder="1" applyAlignment="1">
      <alignment horizontal="left" vertical="center" wrapText="1" indent="4"/>
    </xf>
    <xf numFmtId="49" fontId="12" fillId="0" borderId="40" xfId="0" applyNumberFormat="1" applyFont="1" applyBorder="1" applyAlignment="1">
      <alignment horizontal="left" vertical="center" wrapText="1" indent="1"/>
    </xf>
    <xf numFmtId="49" fontId="12" fillId="0" borderId="40" xfId="0" applyNumberFormat="1" applyFont="1" applyBorder="1" applyAlignment="1">
      <alignment horizontal="left" vertical="center" wrapText="1" indent="3"/>
    </xf>
    <xf numFmtId="49" fontId="12" fillId="0" borderId="40" xfId="0" applyNumberFormat="1" applyFont="1" applyBorder="1" applyAlignment="1">
      <alignment horizontal="left" vertical="center" wrapText="1" indent="5"/>
    </xf>
    <xf numFmtId="49" fontId="12" fillId="0" borderId="41" xfId="0" applyNumberFormat="1" applyFont="1" applyBorder="1" applyAlignment="1">
      <alignment horizontal="left" vertical="center" wrapText="1" indent="1"/>
    </xf>
    <xf numFmtId="49" fontId="12" fillId="0" borderId="39" xfId="0" applyNumberFormat="1" applyFont="1" applyBorder="1" applyAlignment="1">
      <alignment horizontal="left" vertical="center" wrapText="1" indent="1"/>
    </xf>
    <xf numFmtId="49" fontId="12" fillId="0" borderId="41" xfId="0" applyNumberFormat="1" applyFont="1" applyBorder="1" applyAlignment="1">
      <alignment horizontal="left" vertical="center" wrapText="1" indent="5"/>
    </xf>
    <xf numFmtId="49" fontId="12" fillId="0" borderId="41" xfId="0" applyNumberFormat="1" applyFont="1" applyBorder="1" applyAlignment="1">
      <alignment horizontal="left" vertical="center" wrapText="1" indent="3"/>
    </xf>
    <xf numFmtId="49" fontId="12" fillId="0" borderId="45" xfId="0" applyNumberFormat="1" applyFont="1" applyBorder="1" applyAlignment="1">
      <alignment horizontal="left" vertical="center" wrapText="1" indent="1"/>
    </xf>
    <xf numFmtId="49" fontId="12" fillId="0" borderId="47" xfId="0" applyNumberFormat="1" applyFont="1" applyBorder="1" applyAlignment="1">
      <alignment horizontal="left" vertical="center" wrapText="1" indent="1"/>
    </xf>
    <xf numFmtId="0" fontId="12" fillId="0" borderId="49" xfId="0" applyNumberFormat="1" applyFont="1" applyBorder="1" applyAlignment="1">
      <alignment horizontal="center" vertical="center" wrapText="1"/>
    </xf>
    <xf numFmtId="0" fontId="12" fillId="0" borderId="50" xfId="0" applyNumberFormat="1" applyFont="1" applyBorder="1" applyAlignment="1">
      <alignment horizontal="center" vertical="center" wrapText="1"/>
    </xf>
    <xf numFmtId="0" fontId="12" fillId="0" borderId="51" xfId="0" applyNumberFormat="1" applyFont="1" applyBorder="1" applyAlignment="1">
      <alignment horizontal="center" vertical="center" wrapText="1"/>
    </xf>
    <xf numFmtId="49" fontId="13" fillId="0" borderId="3" xfId="0" applyNumberFormat="1" applyFont="1" applyBorder="1" applyAlignment="1">
      <alignment horizontal="center" wrapText="1"/>
    </xf>
    <xf numFmtId="0" fontId="12" fillId="0" borderId="0" xfId="0" applyNumberFormat="1" applyFont="1" applyBorder="1" applyAlignment="1">
      <alignment horizontal="center" vertical="center"/>
    </xf>
    <xf numFmtId="0" fontId="12" fillId="0" borderId="56" xfId="0" applyFont="1" applyBorder="1"/>
    <xf numFmtId="0" fontId="12" fillId="0" borderId="57" xfId="0" applyFont="1" applyBorder="1"/>
    <xf numFmtId="0" fontId="12" fillId="0" borderId="58" xfId="0" applyFont="1" applyBorder="1"/>
    <xf numFmtId="0" fontId="12" fillId="0" borderId="59" xfId="0" applyFont="1" applyBorder="1"/>
    <xf numFmtId="0" fontId="10" fillId="0" borderId="64" xfId="0" applyFont="1" applyBorder="1"/>
    <xf numFmtId="0" fontId="10" fillId="0" borderId="65" xfId="0" applyFont="1" applyBorder="1"/>
    <xf numFmtId="0" fontId="12" fillId="0" borderId="55" xfId="0" applyFont="1" applyBorder="1" applyAlignment="1">
      <alignment horizontal="left" indent="2"/>
    </xf>
    <xf numFmtId="0" fontId="10" fillId="0" borderId="0" xfId="0" applyFont="1" applyAlignment="1">
      <alignment horizontal="left" vertical="center" wrapText="1" indent="1"/>
    </xf>
    <xf numFmtId="166" fontId="14" fillId="0" borderId="0" xfId="0" applyNumberFormat="1" applyFont="1" applyAlignment="1">
      <alignment vertical="center"/>
    </xf>
    <xf numFmtId="49" fontId="13" fillId="0" borderId="39" xfId="0" applyNumberFormat="1" applyFont="1" applyBorder="1" applyAlignment="1">
      <alignment horizontal="left" vertical="center" wrapText="1" indent="1"/>
    </xf>
    <xf numFmtId="0" fontId="13" fillId="0" borderId="0" xfId="0" applyFont="1" applyAlignment="1">
      <alignment vertical="center"/>
    </xf>
    <xf numFmtId="49" fontId="12" fillId="0" borderId="40" xfId="0" applyNumberFormat="1" applyFont="1" applyBorder="1" applyAlignment="1">
      <alignment horizontal="center" vertical="center" wrapText="1"/>
    </xf>
    <xf numFmtId="49" fontId="12" fillId="0" borderId="39" xfId="0" applyNumberFormat="1" applyFont="1" applyBorder="1" applyAlignment="1">
      <alignment horizontal="center" vertical="center" wrapText="1"/>
    </xf>
    <xf numFmtId="49" fontId="12" fillId="0" borderId="47" xfId="0" applyNumberFormat="1" applyFont="1" applyBorder="1" applyAlignment="1">
      <alignment horizontal="center" vertical="center" wrapText="1"/>
    </xf>
    <xf numFmtId="0" fontId="22" fillId="2" borderId="67" xfId="1" applyFont="1" applyFill="1" applyBorder="1" applyAlignment="1">
      <alignment horizontal="left" vertical="center" indent="1"/>
    </xf>
    <xf numFmtId="0" fontId="6" fillId="2" borderId="67" xfId="1" applyFill="1" applyBorder="1"/>
    <xf numFmtId="14" fontId="22" fillId="2" borderId="68" xfId="1" applyNumberFormat="1" applyFont="1" applyFill="1" applyBorder="1" applyAlignment="1">
      <alignment vertical="center"/>
    </xf>
    <xf numFmtId="0" fontId="22" fillId="2" borderId="69" xfId="1" applyNumberFormat="1" applyFont="1" applyFill="1" applyBorder="1" applyAlignment="1">
      <alignment vertical="center"/>
    </xf>
    <xf numFmtId="0" fontId="6" fillId="2" borderId="0" xfId="1" applyNumberFormat="1" applyFill="1"/>
    <xf numFmtId="0" fontId="6" fillId="2" borderId="0" xfId="1" applyFill="1"/>
    <xf numFmtId="0" fontId="22" fillId="2" borderId="70" xfId="1" applyFont="1" applyFill="1" applyBorder="1" applyAlignment="1">
      <alignment horizontal="left" vertical="center" indent="1"/>
    </xf>
    <xf numFmtId="14" fontId="22" fillId="2" borderId="0" xfId="1" applyNumberFormat="1" applyFont="1" applyFill="1" applyBorder="1" applyAlignment="1">
      <alignment horizontal="left" vertical="center" indent="1"/>
    </xf>
    <xf numFmtId="0" fontId="24" fillId="2" borderId="0" xfId="1" applyFont="1" applyFill="1" applyAlignment="1">
      <alignment horizontal="right" indent="1"/>
    </xf>
    <xf numFmtId="0" fontId="25" fillId="2" borderId="30" xfId="1" applyNumberFormat="1" applyFont="1" applyFill="1" applyBorder="1" applyAlignment="1">
      <alignment horizontal="center" vertical="center"/>
    </xf>
    <xf numFmtId="4" fontId="24" fillId="0" borderId="22" xfId="1" applyNumberFormat="1" applyFont="1" applyFill="1" applyBorder="1" applyAlignment="1">
      <alignment vertical="center"/>
    </xf>
    <xf numFmtId="14" fontId="22" fillId="0" borderId="0" xfId="1" applyNumberFormat="1" applyFont="1" applyFill="1" applyBorder="1" applyAlignment="1">
      <alignment horizontal="left" vertical="center" indent="1"/>
    </xf>
    <xf numFmtId="0" fontId="22" fillId="0" borderId="0" xfId="1" applyFont="1"/>
    <xf numFmtId="0" fontId="6" fillId="0" borderId="0" xfId="1"/>
    <xf numFmtId="0" fontId="13" fillId="5" borderId="10" xfId="1" quotePrefix="1" applyFont="1" applyFill="1" applyBorder="1" applyAlignment="1">
      <alignment horizontal="right" indent="1"/>
    </xf>
    <xf numFmtId="0" fontId="12" fillId="5" borderId="73" xfId="1" applyFont="1" applyFill="1" applyBorder="1" applyAlignment="1">
      <alignment horizontal="right" indent="1"/>
    </xf>
    <xf numFmtId="4" fontId="26" fillId="5" borderId="0" xfId="1" applyNumberFormat="1" applyFont="1" applyFill="1" applyBorder="1" applyAlignment="1">
      <alignment horizontal="right" indent="1"/>
    </xf>
    <xf numFmtId="4" fontId="26" fillId="5" borderId="11" xfId="1" applyNumberFormat="1" applyFont="1" applyFill="1" applyBorder="1" applyAlignment="1">
      <alignment horizontal="right" indent="1"/>
    </xf>
    <xf numFmtId="0" fontId="27" fillId="5" borderId="10" xfId="1" applyFont="1" applyFill="1" applyBorder="1"/>
    <xf numFmtId="4" fontId="24" fillId="0" borderId="0" xfId="1" applyNumberFormat="1" applyFont="1" applyFill="1" applyBorder="1" applyAlignment="1">
      <alignment horizontal="right" indent="1"/>
    </xf>
    <xf numFmtId="4" fontId="24" fillId="0" borderId="11" xfId="1" applyNumberFormat="1" applyFont="1" applyFill="1" applyBorder="1" applyAlignment="1">
      <alignment horizontal="right" indent="1"/>
    </xf>
    <xf numFmtId="0" fontId="27" fillId="5" borderId="74" xfId="1" applyFont="1" applyFill="1" applyBorder="1"/>
    <xf numFmtId="0" fontId="12" fillId="5" borderId="75" xfId="1" applyFont="1" applyFill="1" applyBorder="1" applyAlignment="1">
      <alignment horizontal="right" indent="1"/>
    </xf>
    <xf numFmtId="4" fontId="24" fillId="0" borderId="67" xfId="1" applyNumberFormat="1" applyFont="1" applyFill="1" applyBorder="1" applyAlignment="1">
      <alignment horizontal="right" indent="1"/>
    </xf>
    <xf numFmtId="4" fontId="24" fillId="0" borderId="76" xfId="1" applyNumberFormat="1" applyFont="1" applyFill="1" applyBorder="1" applyAlignment="1">
      <alignment horizontal="right" indent="1"/>
    </xf>
    <xf numFmtId="4" fontId="24" fillId="0" borderId="79" xfId="1" applyNumberFormat="1" applyFont="1" applyFill="1" applyBorder="1" applyAlignment="1">
      <alignment vertical="center"/>
    </xf>
    <xf numFmtId="0" fontId="6" fillId="0" borderId="0" xfId="1" applyBorder="1"/>
    <xf numFmtId="0" fontId="13" fillId="5" borderId="36" xfId="1" applyFont="1" applyFill="1" applyBorder="1" applyAlignment="1">
      <alignment horizontal="right" indent="1"/>
    </xf>
    <xf numFmtId="0" fontId="12" fillId="5" borderId="71" xfId="1" applyFont="1" applyFill="1" applyBorder="1" applyAlignment="1">
      <alignment horizontal="right" indent="1"/>
    </xf>
    <xf numFmtId="4" fontId="26" fillId="5" borderId="69" xfId="1" applyNumberFormat="1" applyFont="1" applyFill="1" applyBorder="1" applyAlignment="1">
      <alignment horizontal="right" indent="1"/>
    </xf>
    <xf numFmtId="4" fontId="26" fillId="5" borderId="31" xfId="1" applyNumberFormat="1" applyFont="1" applyFill="1" applyBorder="1" applyAlignment="1">
      <alignment horizontal="right" indent="1"/>
    </xf>
    <xf numFmtId="0" fontId="22" fillId="0" borderId="81" xfId="1" applyFont="1" applyFill="1" applyBorder="1" applyAlignment="1">
      <alignment horizontal="right" indent="1"/>
    </xf>
    <xf numFmtId="0" fontId="6" fillId="0" borderId="0" xfId="1" applyFill="1" applyBorder="1"/>
    <xf numFmtId="0" fontId="22" fillId="0" borderId="68" xfId="1" applyFont="1" applyFill="1" applyBorder="1" applyAlignment="1">
      <alignment horizontal="right" indent="1"/>
    </xf>
    <xf numFmtId="0" fontId="29" fillId="0" borderId="0" xfId="2" applyFont="1" applyFill="1" applyBorder="1"/>
    <xf numFmtId="0" fontId="6" fillId="0" borderId="0" xfId="1" applyFill="1"/>
    <xf numFmtId="0" fontId="13" fillId="5" borderId="38" xfId="1" applyFont="1" applyFill="1" applyBorder="1" applyAlignment="1">
      <alignment horizontal="right" indent="1"/>
    </xf>
    <xf numFmtId="0" fontId="13" fillId="5" borderId="72" xfId="1" applyFont="1" applyFill="1" applyBorder="1" applyAlignment="1">
      <alignment horizontal="right" indent="1"/>
    </xf>
    <xf numFmtId="4" fontId="26" fillId="5" borderId="68" xfId="1" applyNumberFormat="1" applyFont="1" applyFill="1" applyBorder="1" applyAlignment="1">
      <alignment horizontal="right" indent="1"/>
    </xf>
    <xf numFmtId="4" fontId="26" fillId="5" borderId="27" xfId="1" applyNumberFormat="1" applyFont="1" applyFill="1" applyBorder="1" applyAlignment="1">
      <alignment horizontal="right" indent="1"/>
    </xf>
    <xf numFmtId="0" fontId="13" fillId="5" borderId="37" xfId="1" applyFont="1" applyFill="1" applyBorder="1" applyAlignment="1">
      <alignment horizontal="right" indent="1"/>
    </xf>
    <xf numFmtId="0" fontId="13" fillId="5" borderId="83" xfId="1" applyFont="1" applyFill="1" applyBorder="1" applyAlignment="1">
      <alignment horizontal="right" indent="1"/>
    </xf>
    <xf numFmtId="4" fontId="26" fillId="5" borderId="70" xfId="1" applyNumberFormat="1" applyFont="1" applyFill="1" applyBorder="1" applyAlignment="1">
      <alignment horizontal="right" indent="1"/>
    </xf>
    <xf numFmtId="4" fontId="26" fillId="5" borderId="28" xfId="1" applyNumberFormat="1" applyFont="1" applyFill="1" applyBorder="1" applyAlignment="1">
      <alignment horizontal="right" indent="1"/>
    </xf>
    <xf numFmtId="0" fontId="24" fillId="0" borderId="0" xfId="1" applyFont="1" applyAlignment="1">
      <alignment horizontal="right" indent="1"/>
    </xf>
    <xf numFmtId="4" fontId="24" fillId="0" borderId="0" xfId="1" applyNumberFormat="1" applyFont="1" applyAlignment="1">
      <alignment horizontal="right" indent="1"/>
    </xf>
    <xf numFmtId="22" fontId="24" fillId="0" borderId="0" xfId="1" applyNumberFormat="1" applyFont="1" applyAlignment="1">
      <alignment horizontal="right" indent="1"/>
    </xf>
    <xf numFmtId="4" fontId="24" fillId="0" borderId="22" xfId="1" applyNumberFormat="1" applyFont="1" applyFill="1" applyBorder="1" applyAlignment="1"/>
    <xf numFmtId="4" fontId="12" fillId="0" borderId="22" xfId="3" applyNumberFormat="1" applyFont="1" applyFill="1" applyBorder="1" applyAlignment="1">
      <alignment wrapText="1"/>
    </xf>
    <xf numFmtId="0" fontId="6" fillId="0" borderId="84" xfId="1" applyFill="1" applyBorder="1"/>
    <xf numFmtId="0" fontId="6" fillId="0" borderId="84" xfId="1" applyBorder="1"/>
    <xf numFmtId="0" fontId="24" fillId="0" borderId="84" xfId="1" applyFont="1" applyBorder="1" applyAlignment="1">
      <alignment horizontal="right" indent="1"/>
    </xf>
    <xf numFmtId="0" fontId="22" fillId="0" borderId="67" xfId="1" applyFont="1" applyFill="1" applyBorder="1" applyAlignment="1">
      <alignment horizontal="right" indent="1"/>
    </xf>
    <xf numFmtId="4" fontId="12" fillId="0" borderId="88" xfId="3" applyNumberFormat="1" applyFont="1" applyFill="1" applyBorder="1" applyAlignment="1">
      <alignment wrapText="1"/>
    </xf>
    <xf numFmtId="0" fontId="6" fillId="0" borderId="1" xfId="1" applyBorder="1"/>
    <xf numFmtId="0" fontId="26" fillId="5" borderId="89" xfId="1" quotePrefix="1" applyFont="1" applyFill="1" applyBorder="1" applyAlignment="1">
      <alignment horizontal="right" indent="1"/>
    </xf>
    <xf numFmtId="0" fontId="24" fillId="5" borderId="90" xfId="1" applyFont="1" applyFill="1" applyBorder="1" applyAlignment="1">
      <alignment horizontal="right" indent="1"/>
    </xf>
    <xf numFmtId="4" fontId="26" fillId="5" borderId="91" xfId="1" applyNumberFormat="1" applyFont="1" applyFill="1" applyBorder="1" applyAlignment="1">
      <alignment horizontal="right" indent="1"/>
    </xf>
    <xf numFmtId="4" fontId="26" fillId="5" borderId="92" xfId="1" applyNumberFormat="1" applyFont="1" applyFill="1" applyBorder="1" applyAlignment="1">
      <alignment horizontal="right" indent="1"/>
    </xf>
    <xf numFmtId="4" fontId="12" fillId="0" borderId="33" xfId="3" applyNumberFormat="1" applyFont="1" applyFill="1" applyBorder="1" applyAlignment="1">
      <alignment wrapText="1"/>
    </xf>
    <xf numFmtId="0" fontId="26" fillId="5" borderId="36" xfId="1" applyFont="1" applyFill="1" applyBorder="1" applyAlignment="1">
      <alignment horizontal="right" indent="1"/>
    </xf>
    <xf numFmtId="0" fontId="24" fillId="5" borderId="71" xfId="1" applyFont="1" applyFill="1" applyBorder="1" applyAlignment="1">
      <alignment horizontal="right" indent="1"/>
    </xf>
    <xf numFmtId="0" fontId="21" fillId="5" borderId="10" xfId="1" applyFont="1" applyFill="1" applyBorder="1"/>
    <xf numFmtId="0" fontId="24" fillId="5" borderId="73" xfId="1" applyFont="1" applyFill="1" applyBorder="1" applyAlignment="1">
      <alignment horizontal="right" indent="1"/>
    </xf>
    <xf numFmtId="0" fontId="21" fillId="5" borderId="74" xfId="1" applyFont="1" applyFill="1" applyBorder="1"/>
    <xf numFmtId="0" fontId="24" fillId="5" borderId="75" xfId="1" applyFont="1" applyFill="1" applyBorder="1" applyAlignment="1">
      <alignment horizontal="right" indent="1"/>
    </xf>
    <xf numFmtId="0" fontId="22" fillId="0" borderId="69" xfId="1" applyFont="1" applyFill="1" applyBorder="1" applyAlignment="1">
      <alignment horizontal="right" indent="1"/>
    </xf>
    <xf numFmtId="4" fontId="24" fillId="0" borderId="30" xfId="1" applyNumberFormat="1" applyFont="1" applyFill="1" applyBorder="1" applyAlignment="1"/>
    <xf numFmtId="0" fontId="26" fillId="5" borderId="38" xfId="1" applyFont="1" applyFill="1" applyBorder="1" applyAlignment="1">
      <alignment horizontal="right" indent="1"/>
    </xf>
    <xf numFmtId="0" fontId="26" fillId="5" borderId="72" xfId="1" applyFont="1" applyFill="1" applyBorder="1" applyAlignment="1">
      <alignment horizontal="right" indent="1"/>
    </xf>
    <xf numFmtId="0" fontId="26" fillId="5" borderId="37" xfId="1" applyFont="1" applyFill="1" applyBorder="1" applyAlignment="1">
      <alignment horizontal="right" indent="1"/>
    </xf>
    <xf numFmtId="0" fontId="26" fillId="5" borderId="83" xfId="1" applyFont="1" applyFill="1" applyBorder="1" applyAlignment="1">
      <alignment horizontal="right" indent="1"/>
    </xf>
    <xf numFmtId="0" fontId="26" fillId="0" borderId="0" xfId="1" applyFont="1" applyFill="1" applyBorder="1" applyAlignment="1">
      <alignment horizontal="right" indent="1"/>
    </xf>
    <xf numFmtId="4" fontId="26" fillId="0" borderId="0" xfId="1" applyNumberFormat="1" applyFont="1" applyFill="1" applyBorder="1" applyAlignment="1">
      <alignment horizontal="right" indent="1"/>
    </xf>
    <xf numFmtId="4" fontId="6" fillId="0" borderId="0" xfId="1" applyNumberFormat="1"/>
    <xf numFmtId="4" fontId="24" fillId="0" borderId="69" xfId="1" applyNumberFormat="1" applyFont="1" applyFill="1" applyBorder="1" applyAlignment="1"/>
    <xf numFmtId="4" fontId="24" fillId="0" borderId="71" xfId="1" applyNumberFormat="1" applyFont="1" applyFill="1" applyBorder="1" applyAlignment="1"/>
    <xf numFmtId="0" fontId="24" fillId="0" borderId="0" xfId="1" applyFont="1" applyBorder="1" applyAlignment="1">
      <alignment horizontal="right" indent="1"/>
    </xf>
    <xf numFmtId="0" fontId="27" fillId="0" borderId="0" xfId="1" applyFont="1" applyFill="1" applyBorder="1"/>
    <xf numFmtId="0" fontId="22" fillId="0" borderId="91" xfId="1" applyFont="1" applyFill="1" applyBorder="1" applyAlignment="1">
      <alignment horizontal="right" indent="1"/>
    </xf>
    <xf numFmtId="0" fontId="22" fillId="0" borderId="90" xfId="1" applyFont="1" applyFill="1" applyBorder="1" applyAlignment="1">
      <alignment horizontal="right" indent="1"/>
    </xf>
    <xf numFmtId="0" fontId="6" fillId="0" borderId="93" xfId="1" applyFill="1" applyBorder="1"/>
    <xf numFmtId="0" fontId="6" fillId="0" borderId="93" xfId="1" applyBorder="1"/>
    <xf numFmtId="0" fontId="6" fillId="5" borderId="10" xfId="1" applyFill="1" applyBorder="1"/>
    <xf numFmtId="0" fontId="6" fillId="5" borderId="74" xfId="1" applyFill="1" applyBorder="1"/>
    <xf numFmtId="0" fontId="24" fillId="5" borderId="72" xfId="1" applyFont="1" applyFill="1" applyBorder="1" applyAlignment="1">
      <alignment horizontal="right" indent="1"/>
    </xf>
    <xf numFmtId="0" fontId="24" fillId="5" borderId="83" xfId="1" applyFont="1" applyFill="1" applyBorder="1" applyAlignment="1">
      <alignment horizontal="right" indent="1"/>
    </xf>
    <xf numFmtId="0" fontId="26" fillId="0" borderId="0" xfId="1" applyFont="1" applyAlignment="1">
      <alignment horizontal="right" vertical="center" indent="1"/>
    </xf>
    <xf numFmtId="4" fontId="26" fillId="0" borderId="0" xfId="1" applyNumberFormat="1" applyFont="1" applyAlignment="1">
      <alignment horizontal="right" indent="1"/>
    </xf>
    <xf numFmtId="4" fontId="12" fillId="0" borderId="30" xfId="3" applyNumberFormat="1" applyFont="1" applyFill="1" applyBorder="1" applyAlignment="1">
      <alignment wrapText="1"/>
    </xf>
    <xf numFmtId="0" fontId="22" fillId="0" borderId="84" xfId="1" applyFont="1" applyFill="1" applyBorder="1" applyAlignment="1">
      <alignment horizontal="right" indent="1"/>
    </xf>
    <xf numFmtId="4" fontId="12" fillId="0" borderId="94" xfId="3" applyNumberFormat="1" applyFont="1" applyFill="1" applyBorder="1" applyAlignment="1">
      <alignment wrapText="1"/>
    </xf>
    <xf numFmtId="0" fontId="22" fillId="0" borderId="0" xfId="1" applyFont="1" applyFill="1" applyBorder="1" applyAlignment="1">
      <alignment vertical="center"/>
    </xf>
    <xf numFmtId="4" fontId="24" fillId="0" borderId="22" xfId="1" applyNumberFormat="1" applyFont="1" applyFill="1" applyBorder="1" applyAlignment="1">
      <alignment horizontal="right" vertical="center" indent="1"/>
    </xf>
    <xf numFmtId="2" fontId="24" fillId="0" borderId="22" xfId="1" applyNumberFormat="1" applyFont="1" applyBorder="1" applyAlignment="1">
      <alignment horizontal="right" vertical="center" indent="1"/>
    </xf>
    <xf numFmtId="2" fontId="24" fillId="0" borderId="23" xfId="1" applyNumberFormat="1" applyFont="1" applyBorder="1" applyAlignment="1">
      <alignment horizontal="right" vertical="center" indent="1"/>
    </xf>
    <xf numFmtId="4" fontId="24" fillId="0" borderId="25" xfId="1" applyNumberFormat="1" applyFont="1" applyFill="1" applyBorder="1" applyAlignment="1">
      <alignment horizontal="right" vertical="center" indent="1"/>
    </xf>
    <xf numFmtId="2" fontId="24" fillId="0" borderId="25" xfId="1" applyNumberFormat="1" applyFont="1" applyBorder="1" applyAlignment="1">
      <alignment horizontal="right" vertical="center" indent="1"/>
    </xf>
    <xf numFmtId="2" fontId="24" fillId="0" borderId="26" xfId="1" applyNumberFormat="1" applyFont="1" applyBorder="1" applyAlignment="1">
      <alignment horizontal="right" vertical="center" indent="1"/>
    </xf>
    <xf numFmtId="0" fontId="6" fillId="0" borderId="0" xfId="1" applyAlignment="1">
      <alignment horizontal="left" vertical="center" indent="1"/>
    </xf>
    <xf numFmtId="0" fontId="30" fillId="0" borderId="0" xfId="1" applyFont="1" applyBorder="1" applyAlignment="1">
      <alignment vertical="center"/>
    </xf>
    <xf numFmtId="3" fontId="22" fillId="0" borderId="43" xfId="1" applyNumberFormat="1" applyFont="1" applyFill="1" applyBorder="1" applyAlignment="1">
      <alignment horizontal="right" vertical="center" indent="1"/>
    </xf>
    <xf numFmtId="3" fontId="22" fillId="0" borderId="44" xfId="1" applyNumberFormat="1" applyFont="1" applyFill="1" applyBorder="1" applyAlignment="1">
      <alignment horizontal="right" vertical="center" indent="1"/>
    </xf>
    <xf numFmtId="4" fontId="24" fillId="0" borderId="20" xfId="1" applyNumberFormat="1" applyFont="1" applyBorder="1" applyAlignment="1">
      <alignment vertical="center"/>
    </xf>
    <xf numFmtId="4" fontId="24" fillId="0" borderId="23" xfId="1" applyNumberFormat="1" applyFont="1" applyBorder="1" applyAlignment="1">
      <alignment vertical="center"/>
    </xf>
    <xf numFmtId="4" fontId="24" fillId="0" borderId="26" xfId="1" applyNumberFormat="1" applyFont="1" applyBorder="1" applyAlignment="1">
      <alignment vertical="center"/>
    </xf>
    <xf numFmtId="0" fontId="6" fillId="0" borderId="0" xfId="1" applyBorder="1" applyAlignment="1">
      <alignment vertical="center"/>
    </xf>
    <xf numFmtId="0" fontId="12" fillId="0" borderId="42" xfId="0" applyNumberFormat="1" applyFont="1" applyBorder="1" applyAlignment="1">
      <alignment horizontal="center" vertical="center" wrapText="1"/>
    </xf>
    <xf numFmtId="0" fontId="12" fillId="0" borderId="1" xfId="0" applyNumberFormat="1" applyFont="1" applyBorder="1" applyAlignment="1">
      <alignment horizontal="center" vertical="center"/>
    </xf>
    <xf numFmtId="49" fontId="12" fillId="0" borderId="36" xfId="0" applyNumberFormat="1" applyFont="1" applyBorder="1" applyAlignment="1">
      <alignment horizontal="left" vertical="center" wrapText="1" indent="1"/>
    </xf>
    <xf numFmtId="49" fontId="12" fillId="0" borderId="31" xfId="0" applyNumberFormat="1" applyFont="1" applyBorder="1" applyAlignment="1">
      <alignment horizontal="left" vertical="center" wrapText="1" indent="1"/>
    </xf>
    <xf numFmtId="49" fontId="12" fillId="0" borderId="45" xfId="0" applyNumberFormat="1" applyFont="1" applyBorder="1" applyAlignment="1">
      <alignment horizontal="center" vertical="center" wrapText="1"/>
    </xf>
    <xf numFmtId="0" fontId="26" fillId="5" borderId="74" xfId="1" quotePrefix="1" applyFont="1" applyFill="1" applyBorder="1" applyAlignment="1">
      <alignment horizontal="right" indent="1"/>
    </xf>
    <xf numFmtId="4" fontId="26" fillId="5" borderId="67" xfId="1" applyNumberFormat="1" applyFont="1" applyFill="1" applyBorder="1" applyAlignment="1">
      <alignment horizontal="right" indent="1"/>
    </xf>
    <xf numFmtId="4" fontId="26" fillId="5" borderId="76" xfId="1" applyNumberFormat="1" applyFont="1" applyFill="1" applyBorder="1" applyAlignment="1">
      <alignment horizontal="right" indent="1"/>
    </xf>
    <xf numFmtId="0" fontId="26" fillId="5" borderId="0" xfId="1" applyFont="1" applyFill="1" applyBorder="1" applyAlignment="1">
      <alignment horizontal="right" indent="1"/>
    </xf>
    <xf numFmtId="0" fontId="35" fillId="2" borderId="69" xfId="1" applyNumberFormat="1" applyFont="1" applyFill="1" applyBorder="1" applyAlignment="1">
      <alignment vertical="center"/>
    </xf>
    <xf numFmtId="14" fontId="35" fillId="2" borderId="0" xfId="1" applyNumberFormat="1" applyFont="1" applyFill="1" applyBorder="1" applyAlignment="1">
      <alignment horizontal="left" vertical="center" indent="1"/>
    </xf>
    <xf numFmtId="14" fontId="35" fillId="2" borderId="0" xfId="1" applyNumberFormat="1" applyFont="1" applyFill="1" applyBorder="1" applyAlignment="1">
      <alignment vertical="center"/>
    </xf>
    <xf numFmtId="0" fontId="35" fillId="0" borderId="0" xfId="1" applyFont="1"/>
    <xf numFmtId="14" fontId="35" fillId="0" borderId="0" xfId="1" applyNumberFormat="1" applyFont="1" applyFill="1" applyBorder="1" applyAlignment="1">
      <alignment horizontal="left" vertical="center" indent="1"/>
    </xf>
    <xf numFmtId="14" fontId="35" fillId="0" borderId="0" xfId="1" applyNumberFormat="1" applyFont="1" applyFill="1" applyBorder="1" applyAlignment="1">
      <alignment vertical="center"/>
    </xf>
    <xf numFmtId="0" fontId="35" fillId="0" borderId="0" xfId="1" applyFont="1" applyBorder="1"/>
    <xf numFmtId="4" fontId="35" fillId="0" borderId="0" xfId="1" applyNumberFormat="1" applyFont="1" applyBorder="1"/>
    <xf numFmtId="4" fontId="35" fillId="0" borderId="0" xfId="1" applyNumberFormat="1" applyFont="1"/>
    <xf numFmtId="0" fontId="35" fillId="0" borderId="84" xfId="1" applyFont="1" applyBorder="1"/>
    <xf numFmtId="0" fontId="35" fillId="0" borderId="93" xfId="1" applyFont="1" applyBorder="1"/>
    <xf numFmtId="0" fontId="36" fillId="0" borderId="0" xfId="1" applyFont="1"/>
    <xf numFmtId="49" fontId="13" fillId="0" borderId="49" xfId="0" applyNumberFormat="1"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49" fontId="12" fillId="0" borderId="52" xfId="0" applyNumberFormat="1" applyFont="1" applyBorder="1" applyAlignment="1">
      <alignment horizontal="center" vertical="center"/>
    </xf>
    <xf numFmtId="167" fontId="12" fillId="9" borderId="42" xfId="0" applyNumberFormat="1" applyFont="1" applyFill="1" applyBorder="1" applyAlignment="1">
      <alignment vertical="center"/>
    </xf>
    <xf numFmtId="167" fontId="12" fillId="9" borderId="43" xfId="0" applyNumberFormat="1" applyFont="1" applyFill="1" applyBorder="1" applyAlignment="1">
      <alignment vertical="center"/>
    </xf>
    <xf numFmtId="167" fontId="12" fillId="9" borderId="44" xfId="0" applyNumberFormat="1" applyFont="1" applyFill="1" applyBorder="1" applyAlignment="1">
      <alignment vertical="center"/>
    </xf>
    <xf numFmtId="167" fontId="12" fillId="0" borderId="43" xfId="0" applyNumberFormat="1" applyFont="1" applyBorder="1" applyAlignment="1">
      <alignment vertical="center"/>
    </xf>
    <xf numFmtId="167" fontId="12" fillId="0" borderId="44" xfId="0" applyNumberFormat="1" applyFont="1" applyBorder="1" applyAlignment="1">
      <alignment vertical="center"/>
    </xf>
    <xf numFmtId="167" fontId="13" fillId="0" borderId="42" xfId="0" applyNumberFormat="1" applyFont="1" applyBorder="1" applyAlignment="1">
      <alignment vertical="center"/>
    </xf>
    <xf numFmtId="167" fontId="13" fillId="0" borderId="43" xfId="0" applyNumberFormat="1" applyFont="1" applyBorder="1" applyAlignment="1">
      <alignment vertical="center"/>
    </xf>
    <xf numFmtId="167" fontId="13" fillId="0" borderId="44" xfId="0" applyNumberFormat="1" applyFont="1" applyBorder="1" applyAlignment="1">
      <alignment vertical="center"/>
    </xf>
    <xf numFmtId="49" fontId="12" fillId="0" borderId="95" xfId="0" applyNumberFormat="1" applyFont="1" applyBorder="1" applyAlignment="1">
      <alignment horizontal="center" vertical="center"/>
    </xf>
    <xf numFmtId="167" fontId="12" fillId="0" borderId="18" xfId="0" applyNumberFormat="1" applyFont="1" applyBorder="1" applyAlignment="1">
      <alignment vertical="center"/>
    </xf>
    <xf numFmtId="167" fontId="12" fillId="0" borderId="19" xfId="0" applyNumberFormat="1" applyFont="1" applyBorder="1" applyAlignment="1">
      <alignment vertical="center"/>
    </xf>
    <xf numFmtId="167" fontId="12" fillId="0" borderId="20" xfId="0" applyNumberFormat="1" applyFont="1" applyBorder="1" applyAlignment="1">
      <alignment vertical="center"/>
    </xf>
    <xf numFmtId="167" fontId="12" fillId="0" borderId="21" xfId="0" applyNumberFormat="1" applyFont="1" applyBorder="1" applyAlignment="1">
      <alignment vertical="center"/>
    </xf>
    <xf numFmtId="167" fontId="12" fillId="0" borderId="22" xfId="0" applyNumberFormat="1" applyFont="1" applyBorder="1" applyAlignment="1">
      <alignment vertical="center"/>
    </xf>
    <xf numFmtId="167" fontId="12" fillId="0" borderId="23" xfId="0" applyNumberFormat="1" applyFont="1" applyBorder="1" applyAlignment="1">
      <alignment vertical="center"/>
    </xf>
    <xf numFmtId="167" fontId="12" fillId="9" borderId="21" xfId="0" applyNumberFormat="1" applyFont="1" applyFill="1" applyBorder="1" applyAlignment="1">
      <alignment vertical="center"/>
    </xf>
    <xf numFmtId="167" fontId="12" fillId="9" borderId="22" xfId="0" applyNumberFormat="1" applyFont="1" applyFill="1" applyBorder="1" applyAlignment="1">
      <alignment vertical="center"/>
    </xf>
    <xf numFmtId="167" fontId="12" fillId="9" borderId="23" xfId="0" applyNumberFormat="1" applyFont="1" applyFill="1" applyBorder="1" applyAlignment="1">
      <alignment vertical="center"/>
    </xf>
    <xf numFmtId="49" fontId="12" fillId="0" borderId="97" xfId="0" applyNumberFormat="1" applyFont="1" applyBorder="1" applyAlignment="1">
      <alignment horizontal="center" vertical="center"/>
    </xf>
    <xf numFmtId="167" fontId="12" fillId="0" borderId="29" xfId="0" applyNumberFormat="1" applyFont="1" applyBorder="1" applyAlignment="1">
      <alignment vertical="center"/>
    </xf>
    <xf numFmtId="167" fontId="12" fillId="0" borderId="30" xfId="0" applyNumberFormat="1" applyFont="1" applyBorder="1" applyAlignment="1">
      <alignment vertical="center"/>
    </xf>
    <xf numFmtId="167" fontId="12" fillId="0" borderId="46" xfId="0" applyNumberFormat="1" applyFont="1" applyBorder="1" applyAlignment="1">
      <alignment vertical="center"/>
    </xf>
    <xf numFmtId="167" fontId="12" fillId="0" borderId="30" xfId="0" applyNumberFormat="1" applyFont="1" applyBorder="1" applyAlignment="1">
      <alignment horizontal="center" vertical="center"/>
    </xf>
    <xf numFmtId="167" fontId="12" fillId="0" borderId="46" xfId="0" applyNumberFormat="1" applyFont="1" applyBorder="1" applyAlignment="1">
      <alignment horizontal="center" vertical="center"/>
    </xf>
    <xf numFmtId="49" fontId="12" fillId="0" borderId="33" xfId="0" applyNumberFormat="1" applyFont="1" applyBorder="1" applyAlignment="1">
      <alignment horizontal="center"/>
    </xf>
    <xf numFmtId="49" fontId="12" fillId="0" borderId="98" xfId="0" applyNumberFormat="1" applyFont="1" applyBorder="1" applyAlignment="1">
      <alignment horizontal="center" vertical="center"/>
    </xf>
    <xf numFmtId="167" fontId="12" fillId="0" borderId="24" xfId="0" applyNumberFormat="1" applyFont="1" applyBorder="1" applyAlignment="1">
      <alignment vertical="center"/>
    </xf>
    <xf numFmtId="167" fontId="12" fillId="0" borderId="25" xfId="0" applyNumberFormat="1" applyFont="1" applyBorder="1" applyAlignment="1">
      <alignment vertical="center"/>
    </xf>
    <xf numFmtId="167" fontId="12" fillId="0" borderId="26" xfId="0" applyNumberFormat="1" applyFont="1" applyBorder="1" applyAlignment="1">
      <alignment vertical="center"/>
    </xf>
    <xf numFmtId="49" fontId="13" fillId="0" borderId="95" xfId="0" applyNumberFormat="1" applyFont="1" applyBorder="1" applyAlignment="1">
      <alignment horizontal="center" vertical="center"/>
    </xf>
    <xf numFmtId="167" fontId="13" fillId="0" borderId="18" xfId="0" applyNumberFormat="1" applyFont="1" applyBorder="1" applyAlignment="1">
      <alignment vertical="center"/>
    </xf>
    <xf numFmtId="167" fontId="13" fillId="0" borderId="19" xfId="0" applyNumberFormat="1" applyFont="1" applyBorder="1" applyAlignment="1">
      <alignment vertical="center"/>
    </xf>
    <xf numFmtId="167" fontId="13" fillId="0" borderId="20" xfId="0" applyNumberFormat="1" applyFont="1" applyBorder="1" applyAlignment="1">
      <alignment vertical="center"/>
    </xf>
    <xf numFmtId="167" fontId="12" fillId="0" borderId="21" xfId="0" applyNumberFormat="1" applyFont="1" applyFill="1" applyBorder="1" applyAlignment="1">
      <alignment vertical="center"/>
    </xf>
    <xf numFmtId="167" fontId="12" fillId="0" borderId="22" xfId="0" applyNumberFormat="1" applyFont="1" applyFill="1" applyBorder="1" applyAlignment="1">
      <alignment vertical="center"/>
    </xf>
    <xf numFmtId="167" fontId="12" fillId="0" borderId="23" xfId="0" applyNumberFormat="1" applyFont="1" applyFill="1" applyBorder="1" applyAlignment="1">
      <alignment vertical="center"/>
    </xf>
    <xf numFmtId="167" fontId="12" fillId="0" borderId="29" xfId="0" applyNumberFormat="1" applyFont="1" applyBorder="1" applyAlignment="1">
      <alignment horizontal="center" vertical="center"/>
    </xf>
    <xf numFmtId="49" fontId="12" fillId="0" borderId="53" xfId="0" applyNumberFormat="1" applyFont="1" applyBorder="1" applyAlignment="1">
      <alignment horizontal="center" vertical="center"/>
    </xf>
    <xf numFmtId="49" fontId="12" fillId="0" borderId="38" xfId="0" applyNumberFormat="1" applyFont="1" applyBorder="1" applyAlignment="1">
      <alignment horizontal="left" vertical="center" wrapText="1" indent="4"/>
    </xf>
    <xf numFmtId="167" fontId="12" fillId="9" borderId="38" xfId="0" applyNumberFormat="1" applyFont="1" applyFill="1" applyBorder="1" applyAlignment="1">
      <alignment vertical="center"/>
    </xf>
    <xf numFmtId="167" fontId="12" fillId="9" borderId="72" xfId="0" applyNumberFormat="1" applyFont="1" applyFill="1" applyBorder="1" applyAlignment="1">
      <alignment vertical="center"/>
    </xf>
    <xf numFmtId="0" fontId="13" fillId="0" borderId="49" xfId="0" applyFont="1" applyBorder="1" applyAlignment="1">
      <alignment horizontal="center"/>
    </xf>
    <xf numFmtId="0" fontId="13" fillId="0" borderId="50" xfId="0" applyFont="1" applyBorder="1" applyAlignment="1">
      <alignment horizontal="center"/>
    </xf>
    <xf numFmtId="0" fontId="13" fillId="0" borderId="109" xfId="0" applyFont="1" applyBorder="1" applyAlignment="1">
      <alignment horizontal="center"/>
    </xf>
    <xf numFmtId="49" fontId="12" fillId="0" borderId="38" xfId="0" applyNumberFormat="1" applyFont="1" applyBorder="1" applyAlignment="1">
      <alignment horizontal="center" vertical="center" wrapText="1"/>
    </xf>
    <xf numFmtId="167" fontId="12" fillId="0" borderId="18" xfId="0" applyNumberFormat="1" applyFont="1" applyBorder="1" applyAlignment="1">
      <alignment horizontal="center" vertical="center"/>
    </xf>
    <xf numFmtId="167" fontId="12" fillId="0" borderId="19" xfId="0" applyNumberFormat="1" applyFont="1" applyBorder="1" applyAlignment="1">
      <alignment horizontal="center" vertical="center"/>
    </xf>
    <xf numFmtId="167" fontId="12" fillId="0" borderId="20" xfId="0" applyNumberFormat="1" applyFont="1" applyBorder="1" applyAlignment="1">
      <alignment horizontal="center" vertical="center"/>
    </xf>
    <xf numFmtId="167" fontId="12" fillId="0" borderId="0" xfId="0" applyNumberFormat="1" applyFont="1"/>
    <xf numFmtId="167" fontId="12" fillId="0" borderId="21" xfId="0" applyNumberFormat="1" applyFont="1" applyBorder="1" applyAlignment="1">
      <alignment horizontal="center" vertical="center" wrapText="1"/>
    </xf>
    <xf numFmtId="167" fontId="12" fillId="0" borderId="22" xfId="0" applyNumberFormat="1" applyFont="1" applyBorder="1" applyAlignment="1">
      <alignment horizontal="center" vertical="center" wrapText="1"/>
    </xf>
    <xf numFmtId="167" fontId="12" fillId="0" borderId="23" xfId="0" applyNumberFormat="1" applyFont="1" applyBorder="1" applyAlignment="1">
      <alignment horizontal="center" vertical="center" wrapText="1"/>
    </xf>
    <xf numFmtId="167" fontId="12" fillId="9" borderId="21" xfId="0" applyNumberFormat="1" applyFont="1" applyFill="1" applyBorder="1" applyAlignment="1">
      <alignment horizontal="center" vertical="center" wrapText="1"/>
    </xf>
    <xf numFmtId="167" fontId="12" fillId="9" borderId="22" xfId="0" applyNumberFormat="1" applyFont="1" applyFill="1" applyBorder="1" applyAlignment="1">
      <alignment horizontal="center" vertical="center" wrapText="1"/>
    </xf>
    <xf numFmtId="167" fontId="12" fillId="9" borderId="23" xfId="0" applyNumberFormat="1" applyFont="1" applyFill="1" applyBorder="1" applyAlignment="1">
      <alignment horizontal="center" vertical="center" wrapText="1"/>
    </xf>
    <xf numFmtId="167" fontId="12" fillId="0" borderId="21" xfId="0" applyNumberFormat="1" applyFont="1" applyFill="1" applyBorder="1" applyAlignment="1">
      <alignment horizontal="center" vertical="center" wrapText="1"/>
    </xf>
    <xf numFmtId="167" fontId="12" fillId="0" borderId="22" xfId="0" applyNumberFormat="1" applyFont="1" applyFill="1" applyBorder="1" applyAlignment="1">
      <alignment horizontal="center" vertical="center" wrapText="1"/>
    </xf>
    <xf numFmtId="167" fontId="12" fillId="0" borderId="23" xfId="0" applyNumberFormat="1" applyFont="1" applyFill="1" applyBorder="1" applyAlignment="1">
      <alignment horizontal="center" vertical="center" wrapText="1"/>
    </xf>
    <xf numFmtId="49" fontId="12" fillId="0" borderId="36" xfId="0" applyNumberFormat="1" applyFont="1" applyBorder="1" applyAlignment="1">
      <alignment horizontal="center" vertical="center" wrapText="1"/>
    </xf>
    <xf numFmtId="167" fontId="12" fillId="9" borderId="24" xfId="0" applyNumberFormat="1" applyFont="1" applyFill="1" applyBorder="1" applyAlignment="1">
      <alignment horizontal="center" vertical="center" wrapText="1"/>
    </xf>
    <xf numFmtId="167" fontId="12" fillId="9" borderId="25" xfId="0" applyNumberFormat="1" applyFont="1" applyFill="1" applyBorder="1" applyAlignment="1">
      <alignment horizontal="center" vertical="center" wrapText="1"/>
    </xf>
    <xf numFmtId="167" fontId="12" fillId="9" borderId="26" xfId="0" applyNumberFormat="1" applyFont="1" applyFill="1" applyBorder="1" applyAlignment="1">
      <alignment horizontal="center" vertical="center" wrapText="1"/>
    </xf>
    <xf numFmtId="167" fontId="12" fillId="0" borderId="32" xfId="0" applyNumberFormat="1" applyFont="1" applyBorder="1" applyAlignment="1">
      <alignment horizontal="center" vertical="center" wrapText="1"/>
    </xf>
    <xf numFmtId="167" fontId="12" fillId="0" borderId="33" xfId="0" applyNumberFormat="1" applyFont="1" applyBorder="1" applyAlignment="1">
      <alignment horizontal="center" vertical="center" wrapText="1"/>
    </xf>
    <xf numFmtId="167" fontId="12" fillId="0" borderId="48" xfId="0" applyNumberFormat="1" applyFont="1" applyBorder="1" applyAlignment="1">
      <alignment horizontal="center" vertical="center" wrapText="1"/>
    </xf>
    <xf numFmtId="167" fontId="12" fillId="0" borderId="29"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30" xfId="0" applyNumberFormat="1" applyFont="1" applyBorder="1" applyAlignment="1">
      <alignment horizontal="center" vertical="center" wrapText="1"/>
    </xf>
    <xf numFmtId="167" fontId="12" fillId="0" borderId="18" xfId="0" applyNumberFormat="1" applyFont="1" applyBorder="1" applyAlignment="1">
      <alignment horizontal="center" vertical="center" wrapText="1"/>
    </xf>
    <xf numFmtId="167" fontId="12" fillId="0" borderId="20" xfId="0" applyNumberFormat="1" applyFont="1" applyBorder="1" applyAlignment="1">
      <alignment horizontal="center" vertical="center" wrapText="1"/>
    </xf>
    <xf numFmtId="167" fontId="12" fillId="0" borderId="110" xfId="0" applyNumberFormat="1" applyFont="1" applyBorder="1" applyAlignment="1">
      <alignment horizontal="center" vertical="center" wrapText="1"/>
    </xf>
    <xf numFmtId="0" fontId="0" fillId="0" borderId="0" xfId="0" applyFont="1" applyAlignment="1">
      <alignment horizontal="left" vertical="center" wrapText="1" indent="1"/>
    </xf>
    <xf numFmtId="167" fontId="12" fillId="0" borderId="97" xfId="0" applyNumberFormat="1" applyFont="1" applyBorder="1" applyAlignment="1">
      <alignment horizontal="center" vertical="center" wrapText="1"/>
    </xf>
    <xf numFmtId="167" fontId="12" fillId="0" borderId="31"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167"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167" fontId="12" fillId="9" borderId="36" xfId="0" applyNumberFormat="1" applyFont="1" applyFill="1" applyBorder="1" applyAlignment="1">
      <alignment horizontal="center" vertical="center"/>
    </xf>
    <xf numFmtId="167" fontId="12" fillId="9" borderId="30" xfId="0" applyNumberFormat="1" applyFont="1" applyFill="1" applyBorder="1" applyAlignment="1">
      <alignment horizontal="center" vertical="center"/>
    </xf>
    <xf numFmtId="167" fontId="12" fillId="9" borderId="46" xfId="0" applyNumberFormat="1" applyFont="1" applyFill="1" applyBorder="1" applyAlignment="1">
      <alignment horizontal="center" vertical="center"/>
    </xf>
    <xf numFmtId="167" fontId="12" fillId="9" borderId="32" xfId="0" applyNumberFormat="1" applyFont="1" applyFill="1" applyBorder="1" applyAlignment="1">
      <alignment vertical="center"/>
    </xf>
    <xf numFmtId="167" fontId="12" fillId="9" borderId="33" xfId="0" applyNumberFormat="1" applyFont="1" applyFill="1" applyBorder="1" applyAlignment="1">
      <alignment vertical="center"/>
    </xf>
    <xf numFmtId="167" fontId="12" fillId="9" borderId="48" xfId="0" applyNumberFormat="1" applyFont="1" applyFill="1" applyBorder="1" applyAlignment="1">
      <alignment vertical="center"/>
    </xf>
    <xf numFmtId="167" fontId="12" fillId="10" borderId="21" xfId="0" applyNumberFormat="1" applyFont="1" applyFill="1" applyBorder="1" applyAlignment="1">
      <alignment vertical="center"/>
    </xf>
    <xf numFmtId="167" fontId="12" fillId="10" borderId="22" xfId="0" applyNumberFormat="1" applyFont="1" applyFill="1" applyBorder="1" applyAlignment="1">
      <alignment vertical="center"/>
    </xf>
    <xf numFmtId="167" fontId="12" fillId="10" borderId="23" xfId="0" applyNumberFormat="1" applyFont="1" applyFill="1" applyBorder="1" applyAlignment="1">
      <alignment vertical="center"/>
    </xf>
    <xf numFmtId="49" fontId="12" fillId="0" borderId="45" xfId="0" applyNumberFormat="1" applyFont="1" applyBorder="1" applyAlignment="1">
      <alignment horizontal="left" vertical="center" wrapText="1" indent="4"/>
    </xf>
    <xf numFmtId="167" fontId="12" fillId="9" borderId="74" xfId="0" applyNumberFormat="1" applyFont="1" applyFill="1" applyBorder="1" applyAlignment="1">
      <alignment horizontal="right" vertical="center"/>
    </xf>
    <xf numFmtId="49" fontId="12" fillId="0" borderId="47" xfId="0" applyNumberFormat="1" applyFont="1" applyBorder="1" applyAlignment="1">
      <alignment horizontal="left" vertical="center" wrapText="1" indent="5"/>
    </xf>
    <xf numFmtId="49" fontId="12" fillId="0" borderId="30" xfId="0" applyNumberFormat="1" applyFont="1" applyBorder="1" applyAlignment="1"/>
    <xf numFmtId="49" fontId="12" fillId="0" borderId="29" xfId="0" applyNumberFormat="1" applyFont="1" applyBorder="1" applyAlignment="1"/>
    <xf numFmtId="49" fontId="12" fillId="0" borderId="47" xfId="0" applyNumberFormat="1" applyFont="1" applyBorder="1" applyAlignment="1">
      <alignment horizontal="left" vertical="center" wrapText="1" indent="4"/>
    </xf>
    <xf numFmtId="0" fontId="22" fillId="0" borderId="68" xfId="1" applyFont="1" applyFill="1" applyBorder="1" applyAlignment="1">
      <alignment horizontal="center" vertical="center"/>
    </xf>
    <xf numFmtId="0" fontId="22" fillId="0" borderId="19" xfId="1" applyFont="1" applyBorder="1" applyAlignment="1">
      <alignment horizontal="left" vertical="center" wrapText="1" indent="1"/>
    </xf>
    <xf numFmtId="4" fontId="24" fillId="0" borderId="20" xfId="1" applyNumberFormat="1" applyFont="1" applyBorder="1" applyAlignment="1">
      <alignment horizontal="center" vertical="center"/>
    </xf>
    <xf numFmtId="49" fontId="12" fillId="0" borderId="40" xfId="0" applyNumberFormat="1" applyFont="1" applyFill="1" applyBorder="1" applyAlignment="1">
      <alignment horizontal="left" vertical="center" wrapText="1" indent="5"/>
    </xf>
    <xf numFmtId="167" fontId="12" fillId="9" borderId="23" xfId="0" applyNumberFormat="1" applyFont="1" applyFill="1" applyBorder="1" applyAlignment="1">
      <alignment horizontal="right" vertical="center"/>
    </xf>
    <xf numFmtId="49" fontId="12" fillId="0" borderId="32" xfId="0" applyNumberFormat="1" applyFont="1" applyBorder="1" applyAlignment="1">
      <alignment horizontal="center" vertical="center"/>
    </xf>
    <xf numFmtId="49" fontId="12" fillId="0" borderId="33" xfId="0" applyNumberFormat="1" applyFont="1" applyBorder="1" applyAlignment="1">
      <alignment horizontal="center" vertical="center"/>
    </xf>
    <xf numFmtId="167" fontId="12" fillId="9" borderId="32" xfId="0" applyNumberFormat="1" applyFont="1" applyFill="1" applyBorder="1" applyAlignment="1">
      <alignment horizontal="right" vertical="center"/>
    </xf>
    <xf numFmtId="167" fontId="12" fillId="9" borderId="33" xfId="0" applyNumberFormat="1" applyFont="1" applyFill="1" applyBorder="1" applyAlignment="1">
      <alignment horizontal="right" vertical="center"/>
    </xf>
    <xf numFmtId="167" fontId="12" fillId="9" borderId="48" xfId="0" applyNumberFormat="1" applyFont="1" applyFill="1" applyBorder="1" applyAlignment="1">
      <alignment horizontal="right" vertical="center"/>
    </xf>
    <xf numFmtId="167" fontId="12" fillId="9" borderId="21" xfId="0" applyNumberFormat="1" applyFont="1" applyFill="1" applyBorder="1" applyAlignment="1">
      <alignment horizontal="right" vertical="center"/>
    </xf>
    <xf numFmtId="167" fontId="12" fillId="9" borderId="22" xfId="0" applyNumberFormat="1" applyFont="1" applyFill="1" applyBorder="1" applyAlignment="1">
      <alignment horizontal="right" vertical="center"/>
    </xf>
    <xf numFmtId="0" fontId="12" fillId="0" borderId="42" xfId="0" applyNumberFormat="1" applyFont="1" applyBorder="1" applyAlignment="1">
      <alignment horizontal="center" vertical="center" wrapText="1"/>
    </xf>
    <xf numFmtId="0" fontId="12" fillId="0" borderId="43" xfId="0" applyNumberFormat="1" applyFont="1" applyBorder="1" applyAlignment="1">
      <alignment horizontal="center" vertical="center" wrapText="1"/>
    </xf>
    <xf numFmtId="0" fontId="12" fillId="0" borderId="44" xfId="0" applyNumberFormat="1" applyFont="1" applyBorder="1" applyAlignment="1">
      <alignment horizontal="center" vertical="center" wrapText="1"/>
    </xf>
    <xf numFmtId="0" fontId="12" fillId="0" borderId="0" xfId="0" applyFont="1" applyAlignment="1">
      <alignment horizontal="center" vertical="center"/>
    </xf>
    <xf numFmtId="0" fontId="12" fillId="0" borderId="1" xfId="0" applyNumberFormat="1" applyFont="1" applyBorder="1" applyAlignment="1">
      <alignment horizontal="center" vertical="center"/>
    </xf>
    <xf numFmtId="49" fontId="12" fillId="0" borderId="108" xfId="0" applyNumberFormat="1" applyFont="1" applyBorder="1" applyAlignment="1">
      <alignment horizontal="center" vertical="center"/>
    </xf>
    <xf numFmtId="49" fontId="12" fillId="0" borderId="40" xfId="0" applyNumberFormat="1" applyFont="1" applyBorder="1" applyAlignment="1">
      <alignment horizontal="left" wrapText="1" indent="4"/>
    </xf>
    <xf numFmtId="49" fontId="12" fillId="0" borderId="46" xfId="0" applyNumberFormat="1" applyFont="1" applyBorder="1" applyAlignment="1"/>
    <xf numFmtId="49" fontId="12" fillId="0" borderId="48" xfId="0" applyNumberFormat="1" applyFont="1" applyBorder="1" applyAlignment="1">
      <alignment horizontal="center"/>
    </xf>
    <xf numFmtId="4" fontId="0" fillId="0" borderId="0" xfId="0" applyNumberFormat="1" applyFont="1"/>
    <xf numFmtId="0" fontId="0" fillId="0" borderId="0" xfId="0" applyFont="1"/>
    <xf numFmtId="0" fontId="14" fillId="0" borderId="0" xfId="0" applyFont="1"/>
    <xf numFmtId="0" fontId="14" fillId="0" borderId="0" xfId="0" applyFont="1" applyBorder="1"/>
    <xf numFmtId="4" fontId="22" fillId="0" borderId="19" xfId="1" applyNumberFormat="1" applyFont="1" applyBorder="1" applyAlignment="1">
      <alignment horizontal="center" vertical="center" wrapText="1"/>
    </xf>
    <xf numFmtId="0" fontId="12" fillId="0" borderId="2" xfId="0" applyNumberFormat="1" applyFont="1" applyBorder="1" applyAlignment="1">
      <alignment horizontal="center" vertical="center"/>
    </xf>
    <xf numFmtId="0" fontId="12" fillId="0" borderId="2" xfId="0" applyNumberFormat="1" applyFont="1" applyBorder="1" applyAlignment="1">
      <alignment horizontal="center"/>
    </xf>
    <xf numFmtId="0" fontId="12" fillId="0" borderId="0" xfId="0" applyFont="1" applyBorder="1" applyAlignment="1">
      <alignment horizontal="right" vertical="center" indent="1"/>
    </xf>
    <xf numFmtId="0" fontId="4" fillId="2" borderId="0" xfId="1" applyNumberFormat="1" applyFont="1" applyFill="1"/>
    <xf numFmtId="0" fontId="4" fillId="2" borderId="0" xfId="1" applyFont="1" applyFill="1"/>
    <xf numFmtId="0" fontId="4" fillId="0" borderId="0" xfId="1" applyFont="1"/>
    <xf numFmtId="0" fontId="4" fillId="0" borderId="0" xfId="1" applyFont="1" applyBorder="1"/>
    <xf numFmtId="0" fontId="4" fillId="0" borderId="84" xfId="1" applyFont="1" applyBorder="1"/>
    <xf numFmtId="4" fontId="24" fillId="0" borderId="54" xfId="1" applyNumberFormat="1" applyFont="1" applyFill="1" applyBorder="1" applyAlignment="1"/>
    <xf numFmtId="4" fontId="24" fillId="0" borderId="87" xfId="1" applyNumberFormat="1" applyFont="1" applyFill="1" applyBorder="1" applyAlignment="1"/>
    <xf numFmtId="0" fontId="4" fillId="0" borderId="93" xfId="1" applyFont="1" applyBorder="1"/>
    <xf numFmtId="49" fontId="12" fillId="0" borderId="22" xfId="0" applyNumberFormat="1" applyFont="1" applyFill="1" applyBorder="1" applyAlignment="1">
      <alignment horizontal="center" vertical="center"/>
    </xf>
    <xf numFmtId="0" fontId="12" fillId="0" borderId="0" xfId="0" applyFont="1" applyAlignment="1">
      <alignment horizontal="center" vertical="center"/>
    </xf>
    <xf numFmtId="168" fontId="12" fillId="0" borderId="42" xfId="0" applyNumberFormat="1" applyFont="1" applyBorder="1" applyAlignment="1">
      <alignment vertical="center"/>
    </xf>
    <xf numFmtId="0" fontId="10" fillId="0" borderId="0" xfId="0" applyNumberFormat="1" applyFont="1" applyFill="1" applyBorder="1" applyAlignment="1" applyProtection="1">
      <alignment vertical="top"/>
    </xf>
    <xf numFmtId="0" fontId="40" fillId="0" borderId="0" xfId="0" applyNumberFormat="1" applyFont="1" applyFill="1" applyBorder="1" applyAlignment="1" applyProtection="1">
      <alignment vertical="top"/>
    </xf>
    <xf numFmtId="0" fontId="10" fillId="0" borderId="0" xfId="0" applyNumberFormat="1" applyFont="1" applyFill="1" applyBorder="1" applyAlignment="1" applyProtection="1">
      <alignment horizontal="center" vertical="top"/>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top"/>
    </xf>
    <xf numFmtId="0" fontId="40" fillId="0" borderId="0" xfId="0" applyNumberFormat="1" applyFont="1" applyFill="1" applyBorder="1" applyAlignment="1" applyProtection="1">
      <alignment horizontal="right" vertical="top"/>
    </xf>
    <xf numFmtId="49" fontId="10" fillId="0" borderId="0" xfId="0" applyNumberFormat="1" applyFont="1" applyFill="1" applyBorder="1" applyAlignment="1" applyProtection="1">
      <alignment vertical="top"/>
    </xf>
    <xf numFmtId="0" fontId="40" fillId="0" borderId="0" xfId="0" applyNumberFormat="1" applyFont="1" applyFill="1" applyBorder="1" applyAlignment="1" applyProtection="1">
      <alignment horizontal="center" vertical="top"/>
    </xf>
    <xf numFmtId="0" fontId="41" fillId="0" borderId="0" xfId="0" applyNumberFormat="1" applyFont="1" applyFill="1" applyBorder="1" applyAlignment="1" applyProtection="1">
      <alignment vertical="top"/>
    </xf>
    <xf numFmtId="0" fontId="41" fillId="0" borderId="0" xfId="0" applyNumberFormat="1" applyFont="1" applyFill="1" applyBorder="1" applyAlignment="1" applyProtection="1">
      <alignment horizontal="left" vertical="top" indent="15"/>
    </xf>
    <xf numFmtId="0" fontId="42" fillId="0" borderId="0" xfId="0"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vertical="top"/>
    </xf>
    <xf numFmtId="0" fontId="44" fillId="0" borderId="0" xfId="0" applyNumberFormat="1" applyFont="1" applyFill="1" applyBorder="1" applyAlignment="1" applyProtection="1">
      <alignment horizontal="center" vertical="top" wrapText="1"/>
    </xf>
    <xf numFmtId="0" fontId="45" fillId="0" borderId="0" xfId="0" applyNumberFormat="1" applyFont="1" applyFill="1" applyBorder="1" applyAlignment="1" applyProtection="1">
      <alignment horizontal="center" vertical="top"/>
    </xf>
    <xf numFmtId="0" fontId="43" fillId="0" borderId="0" xfId="0" applyNumberFormat="1" applyFont="1" applyFill="1" applyBorder="1" applyAlignment="1" applyProtection="1">
      <alignment vertical="top" wrapText="1"/>
    </xf>
    <xf numFmtId="0" fontId="10" fillId="0" borderId="0" xfId="0"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horizontal="center" vertical="center"/>
    </xf>
    <xf numFmtId="0" fontId="42" fillId="0" borderId="0" xfId="0" applyNumberFormat="1" applyFont="1" applyFill="1" applyBorder="1" applyAlignment="1" applyProtection="1">
      <alignment vertical="top"/>
    </xf>
    <xf numFmtId="0" fontId="0" fillId="0" borderId="0" xfId="0" applyAlignment="1">
      <alignment horizontal="center" vertical="center"/>
    </xf>
    <xf numFmtId="0" fontId="12" fillId="0" borderId="0" xfId="0" applyFont="1" applyAlignment="1">
      <alignment horizontal="center"/>
    </xf>
    <xf numFmtId="0" fontId="48" fillId="0" borderId="0" xfId="1" applyFont="1" applyBorder="1"/>
    <xf numFmtId="0" fontId="12" fillId="0" borderId="0" xfId="0" applyNumberFormat="1" applyFont="1" applyFill="1" applyBorder="1" applyAlignment="1" applyProtection="1">
      <alignment vertical="top"/>
    </xf>
    <xf numFmtId="4" fontId="10" fillId="0" borderId="0" xfId="0" applyNumberFormat="1" applyFont="1" applyFill="1" applyBorder="1" applyAlignment="1" applyProtection="1">
      <alignment vertical="top"/>
    </xf>
    <xf numFmtId="0" fontId="47" fillId="0" borderId="0" xfId="0" applyNumberFormat="1" applyFont="1" applyFill="1" applyBorder="1" applyAlignment="1" applyProtection="1">
      <alignment vertical="top"/>
    </xf>
    <xf numFmtId="4" fontId="47" fillId="0" borderId="6" xfId="0" applyNumberFormat="1" applyFont="1" applyFill="1" applyBorder="1" applyAlignment="1" applyProtection="1">
      <alignment horizontal="right" vertical="center"/>
    </xf>
    <xf numFmtId="4" fontId="47" fillId="0" borderId="10" xfId="0" applyNumberFormat="1" applyFont="1" applyFill="1" applyBorder="1" applyAlignment="1" applyProtection="1">
      <alignment horizontal="right" vertical="center"/>
    </xf>
    <xf numFmtId="4" fontId="47" fillId="0" borderId="8"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horizontal="center" vertical="top"/>
    </xf>
    <xf numFmtId="0" fontId="10" fillId="0" borderId="0" xfId="0" applyNumberFormat="1" applyFont="1" applyFill="1" applyBorder="1" applyAlignment="1" applyProtection="1">
      <alignment vertical="top"/>
    </xf>
    <xf numFmtId="0" fontId="10" fillId="0" borderId="0" xfId="0" applyNumberFormat="1" applyFont="1" applyFill="1" applyBorder="1" applyAlignment="1" applyProtection="1">
      <alignment vertical="top"/>
    </xf>
    <xf numFmtId="0" fontId="14" fillId="4" borderId="0" xfId="1" applyFont="1" applyFill="1" applyAlignment="1">
      <alignment horizontal="center"/>
    </xf>
    <xf numFmtId="0" fontId="14" fillId="4" borderId="0" xfId="1" applyFont="1" applyFill="1" applyBorder="1" applyAlignment="1">
      <alignment horizontal="center"/>
    </xf>
    <xf numFmtId="0" fontId="14" fillId="4" borderId="80" xfId="1" applyFont="1" applyFill="1" applyBorder="1" applyAlignment="1">
      <alignment horizontal="center"/>
    </xf>
    <xf numFmtId="0" fontId="14" fillId="4" borderId="84" xfId="1" applyFont="1" applyFill="1" applyBorder="1" applyAlignment="1">
      <alignment horizontal="center"/>
    </xf>
    <xf numFmtId="0" fontId="14" fillId="6" borderId="80" xfId="1" applyFont="1" applyFill="1" applyBorder="1" applyAlignment="1">
      <alignment horizontal="center"/>
    </xf>
    <xf numFmtId="0" fontId="14" fillId="6" borderId="0" xfId="1" applyFont="1" applyFill="1" applyBorder="1" applyAlignment="1">
      <alignment horizontal="center"/>
    </xf>
    <xf numFmtId="0" fontId="14" fillId="6" borderId="84" xfId="1" applyFont="1" applyFill="1" applyBorder="1" applyAlignment="1">
      <alignment horizontal="center"/>
    </xf>
    <xf numFmtId="0" fontId="14" fillId="6" borderId="0" xfId="1" applyFont="1" applyFill="1" applyAlignment="1">
      <alignment horizontal="center"/>
    </xf>
    <xf numFmtId="0" fontId="14" fillId="6" borderId="100" xfId="1" applyFont="1" applyFill="1" applyBorder="1" applyAlignment="1">
      <alignment horizontal="center"/>
    </xf>
    <xf numFmtId="0" fontId="14" fillId="7" borderId="0" xfId="1" applyFont="1" applyFill="1" applyBorder="1" applyAlignment="1">
      <alignment horizontal="center"/>
    </xf>
    <xf numFmtId="0" fontId="10" fillId="0" borderId="0" xfId="0"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vertical="top"/>
    </xf>
    <xf numFmtId="0" fontId="43" fillId="0" borderId="0" xfId="0" applyNumberFormat="1" applyFont="1" applyFill="1" applyBorder="1" applyAlignment="1" applyProtection="1">
      <alignment vertical="top" wrapText="1"/>
    </xf>
    <xf numFmtId="0" fontId="10" fillId="11" borderId="0" xfId="0" applyNumberFormat="1" applyFont="1" applyFill="1" applyBorder="1" applyAlignment="1" applyProtection="1">
      <alignment vertical="top"/>
    </xf>
    <xf numFmtId="0" fontId="10" fillId="11" borderId="0" xfId="0" applyNumberFormat="1" applyFont="1" applyFill="1" applyBorder="1" applyAlignment="1" applyProtection="1">
      <alignment horizontal="center" vertical="top"/>
    </xf>
    <xf numFmtId="0" fontId="0" fillId="11" borderId="0" xfId="0" applyFill="1"/>
    <xf numFmtId="0" fontId="10" fillId="11" borderId="0" xfId="0" applyNumberFormat="1" applyFont="1" applyFill="1" applyBorder="1" applyAlignment="1" applyProtection="1">
      <alignment vertical="center"/>
    </xf>
    <xf numFmtId="0" fontId="10" fillId="0" borderId="20" xfId="0" applyNumberFormat="1" applyFont="1" applyFill="1" applyBorder="1" applyAlignment="1" applyProtection="1">
      <alignment horizontal="center" vertical="top" wrapText="1"/>
    </xf>
    <xf numFmtId="0" fontId="10" fillId="0" borderId="22" xfId="0" applyNumberFormat="1" applyFont="1" applyFill="1" applyBorder="1" applyAlignment="1" applyProtection="1">
      <alignment horizontal="center" vertical="top" wrapText="1"/>
    </xf>
    <xf numFmtId="0" fontId="10" fillId="0" borderId="23" xfId="0" applyNumberFormat="1" applyFont="1" applyFill="1" applyBorder="1" applyAlignment="1" applyProtection="1">
      <alignment horizontal="center" vertical="top" wrapText="1"/>
    </xf>
    <xf numFmtId="0" fontId="10" fillId="0" borderId="24" xfId="0" applyNumberFormat="1" applyFont="1" applyFill="1" applyBorder="1" applyAlignment="1" applyProtection="1">
      <alignment horizontal="center" vertical="top"/>
    </xf>
    <xf numFmtId="0" fontId="10" fillId="0" borderId="25" xfId="0" applyNumberFormat="1" applyFont="1" applyFill="1" applyBorder="1" applyAlignment="1" applyProtection="1">
      <alignment horizontal="center" vertical="top"/>
    </xf>
    <xf numFmtId="0" fontId="10" fillId="0" borderId="18" xfId="0" applyNumberFormat="1" applyFont="1" applyFill="1" applyBorder="1" applyAlignment="1" applyProtection="1">
      <alignment horizontal="center" vertical="top" wrapText="1"/>
    </xf>
    <xf numFmtId="0" fontId="10" fillId="0" borderId="19" xfId="0" applyNumberFormat="1" applyFont="1" applyFill="1" applyBorder="1" applyAlignment="1" applyProtection="1">
      <alignment horizontal="center" vertical="top" wrapText="1"/>
    </xf>
    <xf numFmtId="0" fontId="42" fillId="0" borderId="24" xfId="0" applyNumberFormat="1" applyFont="1" applyFill="1" applyBorder="1" applyAlignment="1" applyProtection="1">
      <alignment horizontal="center" vertical="top"/>
    </xf>
    <xf numFmtId="0" fontId="42" fillId="0" borderId="25" xfId="0" applyNumberFormat="1" applyFont="1" applyFill="1" applyBorder="1" applyAlignment="1" applyProtection="1">
      <alignment horizontal="center" vertical="top"/>
    </xf>
    <xf numFmtId="0" fontId="10" fillId="0" borderId="21" xfId="0" applyNumberFormat="1" applyFont="1" applyFill="1" applyBorder="1" applyAlignment="1" applyProtection="1">
      <alignment horizontal="center" vertical="top" wrapText="1"/>
    </xf>
    <xf numFmtId="0" fontId="42" fillId="0" borderId="26" xfId="0" applyNumberFormat="1" applyFont="1" applyFill="1" applyBorder="1" applyAlignment="1" applyProtection="1">
      <alignment horizontal="center" vertical="top"/>
    </xf>
    <xf numFmtId="0" fontId="10" fillId="0" borderId="26" xfId="0" applyNumberFormat="1" applyFont="1" applyFill="1" applyBorder="1" applyAlignment="1" applyProtection="1">
      <alignment horizontal="center" vertical="top"/>
    </xf>
    <xf numFmtId="0" fontId="10" fillId="0" borderId="83" xfId="0" applyNumberFormat="1" applyFont="1" applyFill="1" applyBorder="1" applyAlignment="1" applyProtection="1">
      <alignment horizontal="center" vertical="top"/>
    </xf>
    <xf numFmtId="0" fontId="13" fillId="0" borderId="42" xfId="0" applyNumberFormat="1" applyFont="1" applyFill="1" applyBorder="1" applyAlignment="1" applyProtection="1">
      <alignment horizontal="center" vertical="center" wrapText="1"/>
    </xf>
    <xf numFmtId="0" fontId="13" fillId="0" borderId="43" xfId="0" applyNumberFormat="1" applyFont="1" applyFill="1" applyBorder="1" applyAlignment="1" applyProtection="1">
      <alignment horizontal="center" vertical="center" wrapText="1"/>
    </xf>
    <xf numFmtId="0" fontId="10" fillId="0" borderId="25" xfId="0" applyNumberFormat="1" applyFont="1" applyFill="1" applyBorder="1" applyAlignment="1" applyProtection="1">
      <alignment horizontal="center" vertical="center"/>
    </xf>
    <xf numFmtId="0" fontId="10" fillId="0" borderId="114" xfId="0" applyNumberFormat="1" applyFont="1" applyFill="1" applyBorder="1" applyAlignment="1" applyProtection="1">
      <alignment horizontal="center" vertical="top"/>
    </xf>
    <xf numFmtId="0" fontId="10" fillId="0" borderId="16" xfId="0" applyNumberFormat="1" applyFont="1" applyFill="1" applyBorder="1" applyAlignment="1" applyProtection="1">
      <alignment horizontal="center" vertical="top"/>
    </xf>
    <xf numFmtId="0" fontId="10" fillId="0" borderId="16" xfId="0" applyNumberFormat="1" applyFont="1" applyFill="1" applyBorder="1" applyAlignment="1" applyProtection="1">
      <alignment horizontal="center" vertical="center"/>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10" fillId="0" borderId="75" xfId="0" applyNumberFormat="1" applyFont="1" applyFill="1" applyBorder="1" applyAlignment="1" applyProtection="1">
      <alignment horizontal="center" vertical="center" wrapText="1"/>
    </xf>
    <xf numFmtId="0" fontId="10" fillId="0" borderId="33" xfId="0" applyNumberFormat="1" applyFont="1" applyFill="1" applyBorder="1" applyAlignment="1" applyProtection="1">
      <alignment horizontal="center" vertical="center" wrapText="1"/>
    </xf>
    <xf numFmtId="0" fontId="10" fillId="0" borderId="108" xfId="0" applyNumberFormat="1" applyFont="1" applyFill="1" applyBorder="1" applyAlignment="1" applyProtection="1">
      <alignment horizontal="center" vertical="center" wrapText="1"/>
    </xf>
    <xf numFmtId="0" fontId="10" fillId="0" borderId="32" xfId="0" applyNumberFormat="1" applyFont="1" applyFill="1" applyBorder="1" applyAlignment="1" applyProtection="1">
      <alignment horizontal="center" vertical="center" wrapText="1"/>
    </xf>
    <xf numFmtId="0" fontId="10" fillId="0" borderId="48" xfId="0" applyNumberFormat="1" applyFont="1" applyFill="1" applyBorder="1" applyAlignment="1" applyProtection="1">
      <alignment horizontal="center" vertical="center" wrapText="1"/>
    </xf>
    <xf numFmtId="0" fontId="10" fillId="0" borderId="24" xfId="0" applyNumberFormat="1" applyFont="1" applyFill="1" applyBorder="1" applyAlignment="1" applyProtection="1">
      <alignment horizontal="center" vertical="center"/>
    </xf>
    <xf numFmtId="0" fontId="10" fillId="0" borderId="25" xfId="0" applyNumberFormat="1" applyFont="1" applyFill="1" applyBorder="1" applyAlignment="1" applyProtection="1">
      <alignment horizontal="center" vertical="center"/>
    </xf>
    <xf numFmtId="0" fontId="10" fillId="0" borderId="26" xfId="0" applyNumberFormat="1" applyFont="1" applyFill="1" applyBorder="1" applyAlignment="1" applyProtection="1">
      <alignment horizontal="center" vertical="center"/>
    </xf>
    <xf numFmtId="0" fontId="10" fillId="0" borderId="98" xfId="0" applyNumberFormat="1" applyFont="1" applyFill="1" applyBorder="1" applyAlignment="1" applyProtection="1">
      <alignment horizontal="center" vertical="center"/>
    </xf>
    <xf numFmtId="0" fontId="10" fillId="0" borderId="53" xfId="0" applyNumberFormat="1" applyFont="1" applyFill="1" applyBorder="1" applyAlignment="1" applyProtection="1">
      <alignment horizontal="center" vertical="center" wrapText="1"/>
    </xf>
    <xf numFmtId="0" fontId="10" fillId="0" borderId="54" xfId="0" applyNumberFormat="1" applyFont="1" applyFill="1" applyBorder="1" applyAlignment="1" applyProtection="1">
      <alignment horizontal="center" vertical="center" wrapText="1"/>
    </xf>
    <xf numFmtId="0" fontId="10" fillId="0" borderId="54" xfId="0" applyNumberFormat="1" applyFont="1" applyFill="1" applyBorder="1" applyAlignment="1" applyProtection="1">
      <alignment horizontal="center" vertical="center" wrapText="1"/>
    </xf>
    <xf numFmtId="0" fontId="10" fillId="0" borderId="73" xfId="0" applyNumberFormat="1" applyFont="1" applyFill="1" applyBorder="1" applyAlignment="1" applyProtection="1">
      <alignment horizontal="center" vertical="center" wrapText="1"/>
    </xf>
    <xf numFmtId="0" fontId="12" fillId="0" borderId="22" xfId="0" applyNumberFormat="1" applyFont="1" applyFill="1" applyBorder="1" applyAlignment="1" applyProtection="1">
      <alignment horizontal="center" vertical="center" wrapText="1"/>
    </xf>
    <xf numFmtId="0" fontId="10" fillId="0" borderId="83" xfId="0" applyNumberFormat="1" applyFont="1" applyFill="1" applyBorder="1" applyAlignment="1" applyProtection="1">
      <alignment horizontal="center" vertical="center"/>
    </xf>
    <xf numFmtId="0" fontId="10" fillId="0" borderId="24" xfId="0" applyNumberFormat="1" applyFont="1" applyFill="1" applyBorder="1" applyAlignment="1" applyProtection="1">
      <alignment horizontal="center" vertical="center"/>
    </xf>
    <xf numFmtId="0" fontId="12" fillId="0" borderId="21" xfId="0" applyNumberFormat="1" applyFont="1" applyFill="1" applyBorder="1" applyAlignment="1" applyProtection="1">
      <alignment horizontal="center" vertical="center" wrapText="1"/>
    </xf>
    <xf numFmtId="0" fontId="10" fillId="0" borderId="114" xfId="0" applyNumberFormat="1" applyFont="1" applyFill="1" applyBorder="1" applyAlignment="1" applyProtection="1">
      <alignment horizontal="center" vertical="center"/>
    </xf>
    <xf numFmtId="0" fontId="10" fillId="0" borderId="71" xfId="0" applyNumberFormat="1" applyFont="1" applyFill="1" applyBorder="1" applyAlignment="1" applyProtection="1">
      <alignment horizontal="center" vertical="top"/>
    </xf>
    <xf numFmtId="0" fontId="10" fillId="0" borderId="30" xfId="0" applyNumberFormat="1" applyFont="1" applyFill="1" applyBorder="1" applyAlignment="1" applyProtection="1">
      <alignment horizontal="center" vertical="top"/>
    </xf>
    <xf numFmtId="0" fontId="10" fillId="0" borderId="107" xfId="0" applyNumberFormat="1" applyFont="1" applyFill="1" applyBorder="1" applyAlignment="1" applyProtection="1">
      <alignment horizontal="center" vertical="top"/>
    </xf>
    <xf numFmtId="0" fontId="10" fillId="0" borderId="29" xfId="0" applyNumberFormat="1" applyFont="1" applyFill="1" applyBorder="1" applyAlignment="1" applyProtection="1">
      <alignment horizontal="center" vertical="top"/>
    </xf>
    <xf numFmtId="0" fontId="10" fillId="0" borderId="46" xfId="0" applyNumberFormat="1" applyFont="1" applyFill="1" applyBorder="1" applyAlignment="1" applyProtection="1">
      <alignment horizontal="center" vertical="top"/>
    </xf>
    <xf numFmtId="0" fontId="10" fillId="0" borderId="21"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top"/>
    </xf>
    <xf numFmtId="0" fontId="10" fillId="0" borderId="25" xfId="0" applyNumberFormat="1" applyFont="1" applyFill="1" applyBorder="1" applyAlignment="1" applyProtection="1">
      <alignment horizontal="center" vertical="center"/>
    </xf>
    <xf numFmtId="0" fontId="10" fillId="0" borderId="26" xfId="0" applyNumberFormat="1" applyFont="1" applyFill="1" applyBorder="1" applyAlignment="1" applyProtection="1">
      <alignment horizontal="center" vertical="center"/>
    </xf>
    <xf numFmtId="0" fontId="10" fillId="0" borderId="20" xfId="0" applyNumberFormat="1" applyFont="1" applyFill="1" applyBorder="1" applyAlignment="1" applyProtection="1">
      <alignment horizontal="center" vertical="center" wrapText="1"/>
    </xf>
    <xf numFmtId="0" fontId="10" fillId="0" borderId="24" xfId="0" applyNumberFormat="1" applyFont="1" applyFill="1" applyBorder="1" applyAlignment="1" applyProtection="1">
      <alignment horizontal="center" vertical="center"/>
    </xf>
    <xf numFmtId="0" fontId="10" fillId="0" borderId="83" xfId="0" applyNumberFormat="1" applyFont="1" applyFill="1" applyBorder="1" applyAlignment="1" applyProtection="1">
      <alignment horizontal="center" vertical="center"/>
    </xf>
    <xf numFmtId="0" fontId="10" fillId="0" borderId="98" xfId="0" applyNumberFormat="1" applyFont="1" applyFill="1" applyBorder="1" applyAlignment="1" applyProtection="1">
      <alignment horizontal="center" vertical="center"/>
    </xf>
    <xf numFmtId="0" fontId="10" fillId="0" borderId="19" xfId="0" applyNumberFormat="1" applyFont="1" applyFill="1" applyBorder="1" applyAlignment="1" applyProtection="1">
      <alignment horizontal="center" vertical="center" wrapText="1"/>
    </xf>
    <xf numFmtId="0" fontId="10" fillId="0" borderId="22" xfId="0" applyNumberFormat="1" applyFont="1" applyFill="1" applyBorder="1" applyAlignment="1" applyProtection="1">
      <alignment horizontal="center" vertical="top" wrapText="1"/>
    </xf>
    <xf numFmtId="0" fontId="10" fillId="0" borderId="23" xfId="0" applyNumberFormat="1" applyFont="1" applyFill="1" applyBorder="1" applyAlignment="1" applyProtection="1">
      <alignment horizontal="center" vertical="top" wrapText="1"/>
    </xf>
    <xf numFmtId="0" fontId="10" fillId="0" borderId="25" xfId="0" applyNumberFormat="1" applyFont="1" applyFill="1" applyBorder="1" applyAlignment="1" applyProtection="1">
      <alignment horizontal="center" vertical="top"/>
    </xf>
    <xf numFmtId="0" fontId="10" fillId="0" borderId="26" xfId="0" applyNumberFormat="1" applyFont="1" applyFill="1" applyBorder="1" applyAlignment="1" applyProtection="1">
      <alignment horizontal="center" vertical="top"/>
    </xf>
    <xf numFmtId="0" fontId="10" fillId="0" borderId="29" xfId="0" applyNumberFormat="1" applyFont="1" applyFill="1" applyBorder="1" applyAlignment="1" applyProtection="1">
      <alignment horizontal="center" vertical="center"/>
    </xf>
    <xf numFmtId="0" fontId="10" fillId="0" borderId="30" xfId="0" applyNumberFormat="1" applyFont="1" applyFill="1" applyBorder="1" applyAlignment="1" applyProtection="1">
      <alignment horizontal="center" vertical="center"/>
    </xf>
    <xf numFmtId="0" fontId="10" fillId="0" borderId="42" xfId="0" applyNumberFormat="1" applyFont="1" applyFill="1" applyBorder="1" applyAlignment="1" applyProtection="1">
      <alignment horizontal="center" vertical="center"/>
    </xf>
    <xf numFmtId="0" fontId="10" fillId="0" borderId="71" xfId="0" applyNumberFormat="1" applyFont="1" applyFill="1" applyBorder="1" applyAlignment="1" applyProtection="1">
      <alignment horizontal="center" vertical="center"/>
    </xf>
    <xf numFmtId="0" fontId="10" fillId="0" borderId="107" xfId="0" applyNumberFormat="1" applyFont="1" applyFill="1" applyBorder="1" applyAlignment="1" applyProtection="1">
      <alignment horizontal="center" vertical="center"/>
    </xf>
    <xf numFmtId="0" fontId="10" fillId="0" borderId="46" xfId="0" applyNumberFormat="1" applyFont="1" applyFill="1" applyBorder="1" applyAlignment="1" applyProtection="1">
      <alignment horizontal="center" vertical="center"/>
    </xf>
    <xf numFmtId="0" fontId="10" fillId="0" borderId="18" xfId="0" applyNumberFormat="1" applyFont="1" applyFill="1" applyBorder="1" applyAlignment="1" applyProtection="1">
      <alignment horizontal="center" vertical="center"/>
    </xf>
    <xf numFmtId="0" fontId="10" fillId="0" borderId="21" xfId="0" applyNumberFormat="1" applyFont="1" applyFill="1" applyBorder="1" applyAlignment="1" applyProtection="1">
      <alignment horizontal="center" vertical="center"/>
    </xf>
    <xf numFmtId="0" fontId="13" fillId="0" borderId="44"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vertical="top"/>
    </xf>
    <xf numFmtId="0" fontId="16" fillId="11"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2" fillId="0" borderId="22" xfId="0" applyNumberFormat="1" applyFont="1" applyFill="1" applyBorder="1" applyAlignment="1" applyProtection="1">
      <alignment horizontal="center" vertical="center"/>
    </xf>
    <xf numFmtId="0" fontId="12" fillId="0" borderId="97" xfId="0" applyNumberFormat="1" applyFont="1" applyFill="1" applyBorder="1" applyAlignment="1" applyProtection="1">
      <alignment horizontal="center" vertical="center"/>
    </xf>
    <xf numFmtId="0" fontId="12" fillId="0" borderId="21" xfId="0" applyNumberFormat="1" applyFont="1" applyFill="1" applyBorder="1" applyAlignment="1" applyProtection="1">
      <alignment horizontal="center" vertical="center"/>
    </xf>
    <xf numFmtId="0" fontId="12" fillId="0" borderId="23" xfId="0" applyNumberFormat="1" applyFont="1" applyFill="1" applyBorder="1" applyAlignment="1" applyProtection="1">
      <alignment horizontal="center" vertical="center"/>
    </xf>
    <xf numFmtId="0" fontId="12" fillId="0" borderId="30" xfId="0" applyNumberFormat="1" applyFont="1" applyFill="1" applyBorder="1" applyAlignment="1" applyProtection="1">
      <alignment horizontal="center" vertical="center"/>
    </xf>
    <xf numFmtId="0" fontId="12" fillId="0" borderId="107" xfId="0" applyNumberFormat="1" applyFont="1" applyFill="1" applyBorder="1" applyAlignment="1" applyProtection="1">
      <alignment horizontal="center" vertical="center"/>
    </xf>
    <xf numFmtId="0" fontId="12" fillId="0" borderId="29" xfId="0" applyNumberFormat="1" applyFont="1" applyFill="1" applyBorder="1" applyAlignment="1" applyProtection="1">
      <alignment horizontal="center" vertical="center"/>
    </xf>
    <xf numFmtId="0" fontId="12" fillId="0" borderId="114" xfId="0" applyNumberFormat="1" applyFont="1" applyFill="1" applyBorder="1" applyAlignment="1" applyProtection="1">
      <alignment horizontal="center" vertical="center"/>
    </xf>
    <xf numFmtId="0" fontId="12" fillId="0" borderId="16" xfId="0" applyNumberFormat="1" applyFont="1" applyFill="1" applyBorder="1" applyAlignment="1" applyProtection="1">
      <alignment horizontal="center" vertical="center"/>
    </xf>
    <xf numFmtId="4" fontId="12" fillId="0" borderId="33" xfId="0" applyNumberFormat="1" applyFont="1" applyFill="1" applyBorder="1" applyAlignment="1" applyProtection="1">
      <alignment horizontal="right" vertical="center" shrinkToFit="1"/>
    </xf>
    <xf numFmtId="4" fontId="12" fillId="0" borderId="48" xfId="0" applyNumberFormat="1" applyFont="1" applyFill="1" applyBorder="1" applyAlignment="1" applyProtection="1">
      <alignment horizontal="right" vertical="center" shrinkToFit="1"/>
    </xf>
    <xf numFmtId="4" fontId="12" fillId="0" borderId="22" xfId="0" applyNumberFormat="1" applyFont="1" applyFill="1" applyBorder="1" applyAlignment="1" applyProtection="1">
      <alignment horizontal="right" vertical="center" shrinkToFit="1"/>
    </xf>
    <xf numFmtId="4" fontId="12" fillId="0" borderId="23" xfId="0" applyNumberFormat="1" applyFont="1" applyFill="1" applyBorder="1" applyAlignment="1" applyProtection="1">
      <alignment horizontal="right" vertical="center" shrinkToFit="1"/>
    </xf>
    <xf numFmtId="0" fontId="12" fillId="0" borderId="72" xfId="0" applyNumberFormat="1" applyFont="1" applyFill="1" applyBorder="1" applyAlignment="1" applyProtection="1">
      <alignment horizontal="center" vertical="center" shrinkToFit="1"/>
    </xf>
    <xf numFmtId="0" fontId="12" fillId="0" borderId="22" xfId="0" applyNumberFormat="1" applyFont="1" applyFill="1" applyBorder="1" applyAlignment="1" applyProtection="1">
      <alignment horizontal="center" vertical="center" shrinkToFit="1"/>
    </xf>
    <xf numFmtId="0" fontId="12" fillId="0" borderId="21" xfId="0" applyNumberFormat="1" applyFont="1" applyFill="1" applyBorder="1" applyAlignment="1" applyProtection="1">
      <alignment horizontal="center" vertical="center" shrinkToFit="1"/>
    </xf>
    <xf numFmtId="0" fontId="12" fillId="0" borderId="23" xfId="0" applyNumberFormat="1" applyFont="1" applyFill="1" applyBorder="1" applyAlignment="1" applyProtection="1">
      <alignment horizontal="center" vertical="center" shrinkToFit="1"/>
    </xf>
    <xf numFmtId="0" fontId="12" fillId="0" borderId="71" xfId="0" applyNumberFormat="1" applyFont="1" applyFill="1" applyBorder="1" applyAlignment="1" applyProtection="1">
      <alignment horizontal="center" vertical="center" shrinkToFit="1"/>
    </xf>
    <xf numFmtId="0" fontId="12" fillId="0" borderId="30" xfId="0" applyNumberFormat="1" applyFont="1" applyFill="1" applyBorder="1" applyAlignment="1" applyProtection="1">
      <alignment horizontal="center" vertical="center" shrinkToFit="1"/>
    </xf>
    <xf numFmtId="0" fontId="12" fillId="0" borderId="29" xfId="0" applyNumberFormat="1" applyFont="1" applyFill="1" applyBorder="1" applyAlignment="1" applyProtection="1">
      <alignment horizontal="center" vertical="center" shrinkToFit="1"/>
    </xf>
    <xf numFmtId="0" fontId="12" fillId="0" borderId="46" xfId="0" applyNumberFormat="1" applyFont="1" applyFill="1" applyBorder="1" applyAlignment="1" applyProtection="1">
      <alignment horizontal="center" vertical="center" shrinkToFit="1"/>
    </xf>
    <xf numFmtId="4" fontId="12" fillId="0" borderId="30" xfId="0" applyNumberFormat="1" applyFont="1" applyFill="1" applyBorder="1" applyAlignment="1" applyProtection="1">
      <alignment horizontal="right" vertical="center" shrinkToFit="1"/>
    </xf>
    <xf numFmtId="4" fontId="12" fillId="0" borderId="32" xfId="0" applyNumberFormat="1" applyFont="1" applyFill="1" applyBorder="1" applyAlignment="1" applyProtection="1">
      <alignment horizontal="right" vertical="center" shrinkToFit="1"/>
    </xf>
    <xf numFmtId="4" fontId="12" fillId="0" borderId="21" xfId="0" applyNumberFormat="1" applyFont="1" applyFill="1" applyBorder="1" applyAlignment="1" applyProtection="1">
      <alignment horizontal="right" vertical="center" shrinkToFit="1"/>
    </xf>
    <xf numFmtId="4" fontId="12" fillId="0" borderId="29" xfId="0" applyNumberFormat="1" applyFont="1" applyFill="1" applyBorder="1" applyAlignment="1" applyProtection="1">
      <alignment horizontal="right" vertical="center" shrinkToFit="1"/>
    </xf>
    <xf numFmtId="0" fontId="12" fillId="0" borderId="18" xfId="0" applyNumberFormat="1" applyFont="1" applyFill="1" applyBorder="1" applyAlignment="1" applyProtection="1">
      <alignment horizontal="center" vertical="center"/>
    </xf>
    <xf numFmtId="0" fontId="12" fillId="0" borderId="95" xfId="0" applyNumberFormat="1" applyFont="1" applyFill="1" applyBorder="1" applyAlignment="1" applyProtection="1">
      <alignment horizontal="center" vertical="center"/>
    </xf>
    <xf numFmtId="0" fontId="12" fillId="0" borderId="19" xfId="0" applyNumberFormat="1" applyFont="1" applyFill="1" applyBorder="1" applyAlignment="1" applyProtection="1">
      <alignment horizontal="left" vertical="center"/>
    </xf>
    <xf numFmtId="0" fontId="12" fillId="0" borderId="20" xfId="0" applyNumberFormat="1" applyFont="1" applyFill="1" applyBorder="1" applyAlignment="1" applyProtection="1">
      <alignment horizontal="center" vertical="center"/>
    </xf>
    <xf numFmtId="0" fontId="12" fillId="0" borderId="22" xfId="0" applyNumberFormat="1" applyFont="1" applyFill="1" applyBorder="1" applyAlignment="1" applyProtection="1">
      <alignment horizontal="left" vertical="center"/>
    </xf>
    <xf numFmtId="0" fontId="12" fillId="0" borderId="22" xfId="0" applyNumberFormat="1" applyFont="1" applyFill="1" applyBorder="1" applyAlignment="1" applyProtection="1">
      <alignment horizontal="left" vertical="center" wrapText="1"/>
    </xf>
    <xf numFmtId="0" fontId="12" fillId="0" borderId="24" xfId="0" applyNumberFormat="1" applyFont="1" applyFill="1" applyBorder="1" applyAlignment="1" applyProtection="1">
      <alignment horizontal="left" vertical="center"/>
    </xf>
    <xf numFmtId="0" fontId="12" fillId="0" borderId="98" xfId="0" applyNumberFormat="1" applyFont="1" applyFill="1" applyBorder="1" applyAlignment="1" applyProtection="1">
      <alignment horizontal="left" vertical="center"/>
    </xf>
    <xf numFmtId="0" fontId="12" fillId="0" borderId="25" xfId="0" applyNumberFormat="1" applyFont="1" applyFill="1" applyBorder="1" applyAlignment="1" applyProtection="1">
      <alignment horizontal="left" vertical="center"/>
    </xf>
    <xf numFmtId="0" fontId="12" fillId="0" borderId="26" xfId="0" applyNumberFormat="1" applyFont="1" applyFill="1" applyBorder="1" applyAlignment="1" applyProtection="1">
      <alignment horizontal="center" vertical="center"/>
    </xf>
    <xf numFmtId="0" fontId="13" fillId="0" borderId="43" xfId="0" applyNumberFormat="1" applyFont="1" applyFill="1" applyBorder="1" applyAlignment="1" applyProtection="1">
      <alignment horizontal="right" vertical="center"/>
    </xf>
    <xf numFmtId="0" fontId="12" fillId="0" borderId="32" xfId="0" applyNumberFormat="1" applyFont="1" applyFill="1" applyBorder="1" applyAlignment="1" applyProtection="1">
      <alignment horizontal="center" vertical="center"/>
    </xf>
    <xf numFmtId="0" fontId="12" fillId="0" borderId="33" xfId="0" applyNumberFormat="1" applyFont="1" applyFill="1" applyBorder="1" applyAlignment="1" applyProtection="1">
      <alignment horizontal="left" vertical="center" wrapText="1"/>
    </xf>
    <xf numFmtId="0" fontId="12" fillId="0" borderId="97" xfId="0" applyNumberFormat="1" applyFont="1" applyFill="1" applyBorder="1" applyAlignment="1" applyProtection="1">
      <alignment horizontal="left" vertical="center"/>
    </xf>
    <xf numFmtId="0" fontId="12" fillId="0" borderId="22" xfId="0" applyNumberFormat="1" applyFont="1" applyFill="1" applyBorder="1" applyAlignment="1" applyProtection="1">
      <alignment horizontal="left" vertical="center" wrapText="1"/>
    </xf>
    <xf numFmtId="0" fontId="12" fillId="0" borderId="29" xfId="0" applyNumberFormat="1" applyFont="1" applyFill="1" applyBorder="1" applyAlignment="1" applyProtection="1">
      <alignment horizontal="left" vertical="center"/>
    </xf>
    <xf numFmtId="0" fontId="12" fillId="0" borderId="33" xfId="0" applyNumberFormat="1" applyFont="1" applyFill="1" applyBorder="1" applyAlignment="1" applyProtection="1">
      <alignment horizontal="center" vertical="center"/>
    </xf>
    <xf numFmtId="0" fontId="12" fillId="0" borderId="108" xfId="0" applyNumberFormat="1" applyFont="1" applyFill="1" applyBorder="1" applyAlignment="1" applyProtection="1">
      <alignment horizontal="left" vertical="center" wrapText="1"/>
    </xf>
    <xf numFmtId="0" fontId="12" fillId="0" borderId="24" xfId="0" applyNumberFormat="1" applyFont="1" applyFill="1" applyBorder="1" applyAlignment="1" applyProtection="1">
      <alignment horizontal="center" vertical="center"/>
    </xf>
    <xf numFmtId="0" fontId="12" fillId="0" borderId="114" xfId="0" applyNumberFormat="1" applyFont="1" applyFill="1" applyBorder="1" applyAlignment="1" applyProtection="1">
      <alignment horizontal="left" vertical="center"/>
    </xf>
    <xf numFmtId="0" fontId="13" fillId="0" borderId="52" xfId="0" applyNumberFormat="1" applyFont="1" applyFill="1" applyBorder="1" applyAlignment="1" applyProtection="1">
      <alignment horizontal="right" vertical="center"/>
    </xf>
    <xf numFmtId="0" fontId="12" fillId="0" borderId="98" xfId="0" applyNumberFormat="1" applyFont="1" applyFill="1" applyBorder="1" applyAlignment="1" applyProtection="1">
      <alignment horizontal="center" vertical="center"/>
    </xf>
    <xf numFmtId="0" fontId="12" fillId="0" borderId="108" xfId="0" applyNumberFormat="1" applyFont="1" applyFill="1" applyBorder="1" applyAlignment="1" applyProtection="1">
      <alignment horizontal="center" vertical="center"/>
    </xf>
    <xf numFmtId="0" fontId="10" fillId="0" borderId="21" xfId="0" applyNumberFormat="1" applyFont="1" applyFill="1" applyBorder="1" applyAlignment="1" applyProtection="1">
      <alignment horizontal="center" vertical="center" wrapText="1"/>
    </xf>
    <xf numFmtId="0" fontId="10" fillId="0" borderId="29" xfId="0" applyNumberFormat="1" applyFont="1" applyFill="1" applyBorder="1" applyAlignment="1" applyProtection="1">
      <alignment horizontal="center" vertical="center" wrapText="1"/>
    </xf>
    <xf numFmtId="0" fontId="10" fillId="0" borderId="30" xfId="0" applyNumberFormat="1" applyFont="1" applyFill="1" applyBorder="1" applyAlignment="1" applyProtection="1">
      <alignment horizontal="center" vertical="center" wrapText="1"/>
    </xf>
    <xf numFmtId="0" fontId="10" fillId="0" borderId="22" xfId="0" applyNumberFormat="1" applyFont="1" applyFill="1" applyBorder="1" applyAlignment="1" applyProtection="1">
      <alignment horizontal="center" vertical="center" wrapText="1"/>
    </xf>
    <xf numFmtId="0" fontId="12" fillId="0" borderId="25" xfId="0" applyNumberFormat="1" applyFont="1" applyFill="1" applyBorder="1" applyAlignment="1" applyProtection="1">
      <alignment horizontal="center" vertical="center"/>
    </xf>
    <xf numFmtId="0" fontId="12" fillId="0" borderId="25" xfId="0" applyNumberFormat="1" applyFont="1" applyFill="1" applyBorder="1" applyAlignment="1" applyProtection="1">
      <alignment horizontal="center" vertical="top"/>
    </xf>
    <xf numFmtId="0" fontId="12" fillId="0" borderId="19" xfId="0" applyNumberFormat="1" applyFont="1" applyFill="1" applyBorder="1" applyAlignment="1" applyProtection="1">
      <alignment horizontal="center" vertical="center"/>
    </xf>
    <xf numFmtId="0" fontId="50" fillId="0" borderId="0" xfId="0" applyFont="1"/>
    <xf numFmtId="0" fontId="12" fillId="0" borderId="0" xfId="0" applyNumberFormat="1" applyFont="1" applyFill="1" applyBorder="1" applyAlignment="1" applyProtection="1">
      <alignment horizontal="center" vertical="top"/>
    </xf>
    <xf numFmtId="0" fontId="50" fillId="0" borderId="0" xfId="0" applyFont="1" applyAlignment="1">
      <alignment horizontal="center"/>
    </xf>
    <xf numFmtId="0" fontId="13" fillId="0" borderId="42" xfId="0" applyNumberFormat="1" applyFont="1" applyFill="1" applyBorder="1" applyAlignment="1" applyProtection="1">
      <alignment horizontal="left" vertical="center"/>
    </xf>
    <xf numFmtId="0" fontId="13" fillId="0" borderId="43" xfId="0" applyNumberFormat="1" applyFont="1" applyFill="1" applyBorder="1" applyAlignment="1" applyProtection="1">
      <alignment horizontal="center" vertical="center"/>
    </xf>
    <xf numFmtId="0" fontId="13" fillId="0" borderId="113" xfId="0" applyNumberFormat="1" applyFont="1" applyFill="1" applyBorder="1" applyAlignment="1" applyProtection="1">
      <alignment horizontal="center" vertical="center" shrinkToFit="1"/>
    </xf>
    <xf numFmtId="0" fontId="13" fillId="0" borderId="43" xfId="0" applyNumberFormat="1" applyFont="1" applyFill="1" applyBorder="1" applyAlignment="1" applyProtection="1">
      <alignment horizontal="center" vertical="center" shrinkToFit="1"/>
    </xf>
    <xf numFmtId="0" fontId="13" fillId="0" borderId="42" xfId="0" applyNumberFormat="1" applyFont="1" applyFill="1" applyBorder="1" applyAlignment="1" applyProtection="1">
      <alignment horizontal="center" vertical="center" shrinkToFit="1"/>
    </xf>
    <xf numFmtId="4" fontId="13" fillId="0" borderId="44" xfId="0" applyNumberFormat="1" applyFont="1" applyFill="1" applyBorder="1" applyAlignment="1" applyProtection="1">
      <alignment horizontal="right" vertical="center" shrinkToFit="1"/>
    </xf>
    <xf numFmtId="0" fontId="13" fillId="0" borderId="42" xfId="0" applyNumberFormat="1" applyFont="1" applyFill="1" applyBorder="1" applyAlignment="1" applyProtection="1">
      <alignment horizontal="right" vertical="center"/>
    </xf>
    <xf numFmtId="0" fontId="13" fillId="0" borderId="52" xfId="0" applyNumberFormat="1" applyFont="1" applyFill="1" applyBorder="1" applyAlignment="1" applyProtection="1">
      <alignment horizontal="center" vertical="center"/>
    </xf>
    <xf numFmtId="0" fontId="13" fillId="0" borderId="44" xfId="0" applyNumberFormat="1" applyFont="1" applyFill="1" applyBorder="1" applyAlignment="1" applyProtection="1">
      <alignment horizontal="center" vertical="center"/>
    </xf>
    <xf numFmtId="0" fontId="13" fillId="0" borderId="114" xfId="0" applyNumberFormat="1" applyFont="1" applyFill="1" applyBorder="1" applyAlignment="1" applyProtection="1">
      <alignment horizontal="left" vertical="center"/>
    </xf>
    <xf numFmtId="0" fontId="13" fillId="0" borderId="16" xfId="0" applyNumberFormat="1" applyFont="1" applyFill="1" applyBorder="1" applyAlignment="1" applyProtection="1">
      <alignment horizontal="center" vertical="center"/>
    </xf>
    <xf numFmtId="0" fontId="13" fillId="0" borderId="114" xfId="0" applyNumberFormat="1" applyFont="1" applyFill="1" applyBorder="1" applyAlignment="1" applyProtection="1">
      <alignment horizontal="center" vertical="center" shrinkToFit="1"/>
    </xf>
    <xf numFmtId="0" fontId="13" fillId="0" borderId="16" xfId="0" applyNumberFormat="1" applyFont="1" applyFill="1" applyBorder="1" applyAlignment="1" applyProtection="1">
      <alignment horizontal="center" vertical="center" shrinkToFit="1"/>
    </xf>
    <xf numFmtId="0" fontId="13" fillId="0" borderId="15" xfId="0" applyNumberFormat="1" applyFont="1" applyFill="1" applyBorder="1" applyAlignment="1" applyProtection="1">
      <alignment horizontal="center" vertical="center" shrinkToFit="1"/>
    </xf>
    <xf numFmtId="0" fontId="13" fillId="0" borderId="17" xfId="0" applyNumberFormat="1" applyFont="1" applyFill="1" applyBorder="1" applyAlignment="1" applyProtection="1">
      <alignment horizontal="center" vertical="center"/>
    </xf>
    <xf numFmtId="0" fontId="13" fillId="11" borderId="0" xfId="0" applyNumberFormat="1" applyFont="1" applyFill="1" applyBorder="1" applyAlignment="1" applyProtection="1">
      <alignment vertical="center"/>
    </xf>
    <xf numFmtId="0" fontId="13" fillId="0" borderId="0" xfId="0" applyNumberFormat="1" applyFont="1" applyFill="1" applyBorder="1" applyAlignment="1" applyProtection="1">
      <alignment vertical="center"/>
    </xf>
    <xf numFmtId="0" fontId="12" fillId="0" borderId="19" xfId="0" applyNumberFormat="1" applyFont="1" applyFill="1" applyBorder="1" applyAlignment="1" applyProtection="1">
      <alignment horizontal="left" vertical="center" wrapText="1"/>
    </xf>
    <xf numFmtId="0" fontId="12" fillId="0" borderId="25" xfId="0" applyNumberFormat="1" applyFont="1" applyFill="1" applyBorder="1" applyAlignment="1" applyProtection="1">
      <alignment horizontal="left" vertical="center" wrapText="1"/>
    </xf>
    <xf numFmtId="4" fontId="12" fillId="0" borderId="46" xfId="0" applyNumberFormat="1" applyFont="1" applyFill="1" applyBorder="1" applyAlignment="1" applyProtection="1">
      <alignment horizontal="right" vertical="center" shrinkToFit="1"/>
    </xf>
    <xf numFmtId="0" fontId="12" fillId="0" borderId="23" xfId="0" applyNumberFormat="1" applyFont="1" applyFill="1" applyBorder="1" applyAlignment="1" applyProtection="1">
      <alignment horizontal="left" vertical="center" wrapText="1"/>
    </xf>
    <xf numFmtId="4" fontId="13" fillId="0" borderId="43" xfId="0" applyNumberFormat="1" applyFont="1" applyFill="1" applyBorder="1" applyAlignment="1" applyProtection="1">
      <alignment horizontal="right" vertical="center" shrinkToFit="1"/>
    </xf>
    <xf numFmtId="0" fontId="12" fillId="0" borderId="46" xfId="0" applyNumberFormat="1" applyFont="1" applyFill="1" applyBorder="1" applyAlignment="1" applyProtection="1">
      <alignment horizontal="left" vertical="center" wrapText="1"/>
    </xf>
    <xf numFmtId="0" fontId="13" fillId="11" borderId="0" xfId="0" applyNumberFormat="1" applyFont="1" applyFill="1" applyBorder="1" applyAlignment="1" applyProtection="1">
      <alignment vertical="top"/>
    </xf>
    <xf numFmtId="0" fontId="13" fillId="11" borderId="0" xfId="0" applyNumberFormat="1" applyFont="1" applyFill="1" applyBorder="1" applyAlignment="1" applyProtection="1">
      <alignment horizontal="center" vertical="top"/>
    </xf>
    <xf numFmtId="0" fontId="51" fillId="11" borderId="0" xfId="0" applyFont="1" applyFill="1"/>
    <xf numFmtId="0" fontId="12" fillId="0" borderId="24" xfId="0" applyNumberFormat="1" applyFont="1" applyFill="1" applyBorder="1" applyAlignment="1" applyProtection="1">
      <alignment horizontal="center" vertical="top"/>
    </xf>
    <xf numFmtId="0" fontId="12" fillId="0" borderId="114" xfId="0" applyNumberFormat="1" applyFont="1" applyFill="1" applyBorder="1" applyAlignment="1" applyProtection="1">
      <alignment horizontal="center" vertical="top"/>
    </xf>
    <xf numFmtId="0" fontId="12" fillId="0" borderId="16" xfId="0" applyNumberFormat="1" applyFont="1" applyFill="1" applyBorder="1" applyAlignment="1" applyProtection="1">
      <alignment horizontal="center" vertical="top"/>
    </xf>
    <xf numFmtId="0" fontId="12" fillId="0" borderId="16" xfId="0" applyNumberFormat="1" applyFont="1" applyFill="1" applyBorder="1" applyAlignment="1" applyProtection="1">
      <alignment horizontal="center" vertical="center"/>
    </xf>
    <xf numFmtId="4" fontId="12" fillId="0" borderId="0"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top" wrapText="1"/>
    </xf>
    <xf numFmtId="0" fontId="13" fillId="0" borderId="0" xfId="0" applyNumberFormat="1" applyFont="1" applyFill="1" applyBorder="1" applyAlignment="1" applyProtection="1">
      <alignment vertical="top"/>
    </xf>
    <xf numFmtId="0" fontId="10" fillId="0" borderId="23" xfId="0" applyNumberFormat="1" applyFont="1" applyFill="1" applyBorder="1" applyAlignment="1" applyProtection="1">
      <alignment horizontal="center" vertical="center" wrapText="1"/>
    </xf>
    <xf numFmtId="0" fontId="12" fillId="0" borderId="29" xfId="0" applyNumberFormat="1" applyFont="1" applyFill="1" applyBorder="1" applyAlignment="1" applyProtection="1">
      <alignment horizontal="center" vertical="center" wrapText="1"/>
    </xf>
    <xf numFmtId="0" fontId="12" fillId="0" borderId="30" xfId="0" applyNumberFormat="1" applyFont="1" applyFill="1" applyBorder="1" applyAlignment="1" applyProtection="1">
      <alignment horizontal="center" vertical="center" wrapText="1"/>
    </xf>
    <xf numFmtId="0" fontId="10" fillId="0" borderId="25" xfId="0" applyNumberFormat="1" applyFont="1" applyFill="1" applyBorder="1" applyAlignment="1" applyProtection="1">
      <alignment horizontal="center" vertical="center" wrapText="1"/>
    </xf>
    <xf numFmtId="0" fontId="13" fillId="0" borderId="44" xfId="0" applyNumberFormat="1" applyFont="1" applyFill="1" applyBorder="1" applyAlignment="1" applyProtection="1">
      <alignment horizontal="right" vertical="center" wrapText="1"/>
    </xf>
    <xf numFmtId="0" fontId="10" fillId="0" borderId="26" xfId="0" applyNumberFormat="1" applyFont="1" applyFill="1" applyBorder="1" applyAlignment="1" applyProtection="1">
      <alignment horizontal="center" vertical="center" wrapText="1"/>
    </xf>
    <xf numFmtId="0" fontId="10" fillId="0" borderId="46" xfId="0" applyNumberFormat="1" applyFont="1" applyFill="1" applyBorder="1" applyAlignment="1" applyProtection="1">
      <alignment horizontal="center" vertical="center" wrapText="1"/>
    </xf>
    <xf numFmtId="0" fontId="12" fillId="0" borderId="32" xfId="0" applyNumberFormat="1" applyFont="1" applyFill="1" applyBorder="1" applyAlignment="1" applyProtection="1">
      <alignment horizontal="center" vertical="center" wrapText="1"/>
    </xf>
    <xf numFmtId="0" fontId="12" fillId="0" borderId="33" xfId="0" applyNumberFormat="1" applyFont="1" applyFill="1" applyBorder="1" applyAlignment="1" applyProtection="1">
      <alignment horizontal="center" vertical="center" wrapText="1"/>
    </xf>
    <xf numFmtId="0" fontId="12" fillId="0" borderId="48" xfId="0" applyNumberFormat="1" applyFont="1" applyFill="1" applyBorder="1" applyAlignment="1" applyProtection="1">
      <alignment horizontal="left" vertical="center" wrapText="1"/>
    </xf>
    <xf numFmtId="0" fontId="10" fillId="0" borderId="24" xfId="0" applyNumberFormat="1" applyFont="1" applyFill="1" applyBorder="1" applyAlignment="1" applyProtection="1">
      <alignment horizontal="center" vertical="center" wrapText="1"/>
    </xf>
    <xf numFmtId="0" fontId="10" fillId="0" borderId="70" xfId="0" applyNumberFormat="1" applyFont="1" applyFill="1" applyBorder="1" applyAlignment="1" applyProtection="1">
      <alignment horizontal="center" vertical="center" wrapText="1"/>
    </xf>
    <xf numFmtId="0" fontId="10" fillId="0" borderId="41" xfId="0" applyNumberFormat="1" applyFont="1" applyFill="1" applyBorder="1" applyAlignment="1" applyProtection="1">
      <alignment horizontal="center" vertical="center" wrapText="1"/>
    </xf>
    <xf numFmtId="0" fontId="10" fillId="0" borderId="28" xfId="0" applyNumberFormat="1" applyFont="1" applyFill="1" applyBorder="1" applyAlignment="1" applyProtection="1">
      <alignment horizontal="center" vertical="center" wrapText="1"/>
    </xf>
    <xf numFmtId="4" fontId="12" fillId="0" borderId="67" xfId="0" applyNumberFormat="1" applyFont="1" applyFill="1" applyBorder="1" applyAlignment="1" applyProtection="1">
      <alignment horizontal="center" vertical="center" shrinkToFit="1"/>
    </xf>
    <xf numFmtId="4" fontId="12" fillId="0" borderId="47" xfId="0" applyNumberFormat="1" applyFont="1" applyFill="1" applyBorder="1" applyAlignment="1" applyProtection="1">
      <alignment horizontal="right" vertical="center" shrinkToFit="1"/>
    </xf>
    <xf numFmtId="4" fontId="13" fillId="0" borderId="76" xfId="0" applyNumberFormat="1" applyFont="1" applyFill="1" applyBorder="1" applyAlignment="1" applyProtection="1">
      <alignment horizontal="right" vertical="center" shrinkToFit="1"/>
    </xf>
    <xf numFmtId="4" fontId="12" fillId="0" borderId="68" xfId="0" applyNumberFormat="1" applyFont="1" applyFill="1" applyBorder="1" applyAlignment="1" applyProtection="1">
      <alignment horizontal="center" vertical="center" shrinkToFit="1"/>
    </xf>
    <xf numFmtId="4" fontId="12" fillId="0" borderId="40" xfId="0" applyNumberFormat="1" applyFont="1" applyFill="1" applyBorder="1" applyAlignment="1" applyProtection="1">
      <alignment horizontal="right" vertical="center" shrinkToFit="1"/>
    </xf>
    <xf numFmtId="4" fontId="13" fillId="0" borderId="27" xfId="0" applyNumberFormat="1" applyFont="1" applyFill="1" applyBorder="1" applyAlignment="1" applyProtection="1">
      <alignment horizontal="right" vertical="center" shrinkToFit="1"/>
    </xf>
    <xf numFmtId="4" fontId="12" fillId="0" borderId="69" xfId="0" applyNumberFormat="1" applyFont="1" applyFill="1" applyBorder="1" applyAlignment="1" applyProtection="1">
      <alignment horizontal="center" vertical="center" shrinkToFit="1"/>
    </xf>
    <xf numFmtId="4" fontId="12" fillId="0" borderId="45" xfId="0" applyNumberFormat="1" applyFont="1" applyFill="1" applyBorder="1" applyAlignment="1" applyProtection="1">
      <alignment horizontal="right" vertical="center" shrinkToFit="1"/>
    </xf>
    <xf numFmtId="4" fontId="13" fillId="0" borderId="31" xfId="0" applyNumberFormat="1" applyFont="1" applyFill="1" applyBorder="1" applyAlignment="1" applyProtection="1">
      <alignment horizontal="right" vertical="center" shrinkToFit="1"/>
    </xf>
    <xf numFmtId="4" fontId="13" fillId="0" borderId="112" xfId="0" applyNumberFormat="1" applyFont="1" applyFill="1" applyBorder="1" applyAlignment="1" applyProtection="1">
      <alignment horizontal="center" vertical="center" shrinkToFit="1"/>
    </xf>
    <xf numFmtId="4" fontId="13" fillId="0" borderId="42" xfId="0" applyNumberFormat="1" applyFont="1" applyFill="1" applyBorder="1" applyAlignment="1" applyProtection="1">
      <alignment horizontal="right" vertical="center" shrinkToFit="1"/>
    </xf>
    <xf numFmtId="4" fontId="13" fillId="0" borderId="3" xfId="0" applyNumberFormat="1" applyFont="1" applyFill="1" applyBorder="1" applyAlignment="1" applyProtection="1">
      <alignment horizontal="right" vertical="center" shrinkToFit="1"/>
    </xf>
    <xf numFmtId="4" fontId="13" fillId="0" borderId="5" xfId="0" applyNumberFormat="1" applyFont="1" applyFill="1" applyBorder="1" applyAlignment="1" applyProtection="1">
      <alignment horizontal="right" vertical="center" shrinkToFit="1"/>
    </xf>
    <xf numFmtId="0" fontId="10" fillId="0" borderId="72" xfId="0" applyNumberFormat="1" applyFont="1" applyFill="1" applyBorder="1" applyAlignment="1" applyProtection="1">
      <alignment horizontal="center" vertical="center" wrapText="1"/>
    </xf>
    <xf numFmtId="0" fontId="13" fillId="0" borderId="16" xfId="0" applyNumberFormat="1" applyFont="1" applyFill="1" applyBorder="1" applyAlignment="1" applyProtection="1">
      <alignment horizontal="right" vertical="center"/>
    </xf>
    <xf numFmtId="0" fontId="12" fillId="0" borderId="53"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left" vertical="center"/>
    </xf>
    <xf numFmtId="0" fontId="12" fillId="0" borderId="26" xfId="0" applyNumberFormat="1" applyFont="1" applyFill="1" applyBorder="1" applyAlignment="1" applyProtection="1">
      <alignment horizontal="left" vertical="center" wrapText="1"/>
    </xf>
    <xf numFmtId="0" fontId="13" fillId="0" borderId="115" xfId="0" applyNumberFormat="1" applyFont="1" applyFill="1" applyBorder="1" applyAlignment="1" applyProtection="1">
      <alignment horizontal="right" vertical="center"/>
    </xf>
    <xf numFmtId="0" fontId="12" fillId="0" borderId="0" xfId="0" applyNumberFormat="1" applyFont="1" applyFill="1" applyBorder="1" applyAlignment="1" applyProtection="1">
      <alignment vertical="center"/>
    </xf>
    <xf numFmtId="0" fontId="10" fillId="0" borderId="72" xfId="0" applyNumberFormat="1" applyFont="1" applyFill="1" applyBorder="1" applyAlignment="1" applyProtection="1">
      <alignment horizontal="center" vertical="top" wrapText="1"/>
    </xf>
    <xf numFmtId="0" fontId="10" fillId="0" borderId="71"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horizontal="center" vertical="center" wrapText="1"/>
    </xf>
    <xf numFmtId="0" fontId="0" fillId="0" borderId="0" xfId="0" applyFont="1" applyAlignment="1">
      <alignment horizontal="center" vertical="center"/>
    </xf>
    <xf numFmtId="4" fontId="12" fillId="0" borderId="22" xfId="0" applyNumberFormat="1" applyFont="1" applyFill="1" applyBorder="1" applyAlignment="1" applyProtection="1">
      <alignment horizontal="center" vertical="center" shrinkToFit="1"/>
    </xf>
    <xf numFmtId="4" fontId="12" fillId="0" borderId="23" xfId="0" applyNumberFormat="1" applyFont="1" applyFill="1" applyBorder="1" applyAlignment="1" applyProtection="1">
      <alignment horizontal="center" vertical="center" shrinkToFit="1"/>
    </xf>
    <xf numFmtId="0" fontId="12" fillId="0" borderId="19" xfId="0" applyNumberFormat="1" applyFont="1" applyFill="1" applyBorder="1" applyAlignment="1" applyProtection="1">
      <alignment horizontal="center" vertical="center" shrinkToFit="1"/>
    </xf>
    <xf numFmtId="4" fontId="12" fillId="0" borderId="19" xfId="0" applyNumberFormat="1" applyFont="1" applyFill="1" applyBorder="1" applyAlignment="1" applyProtection="1">
      <alignment horizontal="center" vertical="center" shrinkToFit="1"/>
    </xf>
    <xf numFmtId="4" fontId="12" fillId="0" borderId="20" xfId="0" applyNumberFormat="1" applyFont="1" applyFill="1" applyBorder="1" applyAlignment="1" applyProtection="1">
      <alignment horizontal="center" vertical="center" shrinkToFit="1"/>
    </xf>
    <xf numFmtId="0" fontId="12" fillId="0" borderId="25" xfId="0" applyNumberFormat="1" applyFont="1" applyFill="1" applyBorder="1" applyAlignment="1" applyProtection="1">
      <alignment horizontal="center" vertical="center" shrinkToFit="1"/>
    </xf>
    <xf numFmtId="4" fontId="12" fillId="0" borderId="25" xfId="0" applyNumberFormat="1" applyFont="1" applyFill="1" applyBorder="1" applyAlignment="1" applyProtection="1">
      <alignment horizontal="center" vertical="center" shrinkToFit="1"/>
    </xf>
    <xf numFmtId="0" fontId="12" fillId="0" borderId="99" xfId="0" applyNumberFormat="1" applyFont="1" applyFill="1" applyBorder="1" applyAlignment="1" applyProtection="1">
      <alignment horizontal="center" vertical="center" shrinkToFit="1"/>
    </xf>
    <xf numFmtId="0" fontId="12" fillId="0" borderId="83" xfId="0" applyNumberFormat="1" applyFont="1" applyFill="1" applyBorder="1" applyAlignment="1" applyProtection="1">
      <alignment horizontal="center" vertical="center" shrinkToFit="1"/>
    </xf>
    <xf numFmtId="0" fontId="12" fillId="0" borderId="18" xfId="0" applyNumberFormat="1" applyFont="1" applyFill="1" applyBorder="1" applyAlignment="1" applyProtection="1">
      <alignment horizontal="center" vertical="center" shrinkToFit="1"/>
    </xf>
    <xf numFmtId="0" fontId="12" fillId="0" borderId="24" xfId="0" applyNumberFormat="1" applyFont="1" applyFill="1" applyBorder="1" applyAlignment="1" applyProtection="1">
      <alignment horizontal="center" vertical="center" shrinkToFit="1"/>
    </xf>
    <xf numFmtId="0" fontId="12" fillId="0" borderId="95" xfId="0" applyNumberFormat="1" applyFont="1" applyFill="1" applyBorder="1" applyAlignment="1" applyProtection="1">
      <alignment horizontal="left" vertical="center" wrapText="1"/>
    </xf>
    <xf numFmtId="0" fontId="12" fillId="0" borderId="97" xfId="0" applyNumberFormat="1" applyFont="1" applyFill="1" applyBorder="1" applyAlignment="1" applyProtection="1">
      <alignment horizontal="left" vertical="center" wrapText="1"/>
    </xf>
    <xf numFmtId="0" fontId="12" fillId="0" borderId="98" xfId="0" applyNumberFormat="1" applyFont="1" applyFill="1" applyBorder="1" applyAlignment="1" applyProtection="1">
      <alignment horizontal="left" vertical="center" wrapText="1"/>
    </xf>
    <xf numFmtId="0" fontId="12" fillId="0" borderId="114" xfId="0" applyNumberFormat="1" applyFont="1" applyFill="1" applyBorder="1" applyAlignment="1" applyProtection="1">
      <alignment horizontal="right" vertical="center"/>
    </xf>
    <xf numFmtId="0" fontId="13" fillId="0" borderId="17" xfId="0" applyNumberFormat="1" applyFont="1" applyFill="1" applyBorder="1" applyAlignment="1" applyProtection="1">
      <alignment horizontal="right" vertical="center"/>
    </xf>
    <xf numFmtId="4" fontId="12" fillId="0" borderId="26" xfId="0" applyNumberFormat="1" applyFont="1" applyFill="1" applyBorder="1" applyAlignment="1" applyProtection="1">
      <alignment horizontal="center" shrinkToFit="1"/>
    </xf>
    <xf numFmtId="0" fontId="12" fillId="0" borderId="25" xfId="0" applyNumberFormat="1" applyFont="1" applyFill="1" applyBorder="1" applyAlignment="1" applyProtection="1">
      <alignment horizontal="center" shrinkToFit="1"/>
    </xf>
    <xf numFmtId="0" fontId="12" fillId="0" borderId="95" xfId="0" applyNumberFormat="1" applyFont="1" applyFill="1" applyBorder="1" applyAlignment="1" applyProtection="1">
      <alignment horizontal="left" vertical="center"/>
    </xf>
    <xf numFmtId="4" fontId="13" fillId="0" borderId="115" xfId="0" applyNumberFormat="1" applyFont="1" applyFill="1" applyBorder="1" applyAlignment="1" applyProtection="1">
      <alignment horizontal="center" vertical="center" shrinkToFit="1"/>
    </xf>
    <xf numFmtId="0" fontId="10" fillId="0" borderId="0" xfId="0" applyNumberFormat="1" applyFont="1" applyFill="1" applyBorder="1" applyAlignment="1" applyProtection="1">
      <alignment horizontal="left" vertical="top" indent="4"/>
    </xf>
    <xf numFmtId="0" fontId="10" fillId="0" borderId="0" xfId="0" applyNumberFormat="1" applyFont="1" applyFill="1" applyBorder="1" applyAlignment="1" applyProtection="1">
      <alignment horizontal="left" vertical="center" indent="4"/>
    </xf>
    <xf numFmtId="4" fontId="12" fillId="0" borderId="18" xfId="0" applyNumberFormat="1" applyFont="1" applyFill="1" applyBorder="1" applyAlignment="1" applyProtection="1">
      <alignment horizontal="center" vertical="center" shrinkToFit="1"/>
    </xf>
    <xf numFmtId="4" fontId="12" fillId="0" borderId="99" xfId="0" applyNumberFormat="1" applyFont="1" applyFill="1" applyBorder="1" applyAlignment="1" applyProtection="1">
      <alignment horizontal="center" vertical="center" shrinkToFit="1"/>
    </xf>
    <xf numFmtId="4" fontId="12" fillId="0" borderId="21" xfId="0" applyNumberFormat="1" applyFont="1" applyFill="1" applyBorder="1" applyAlignment="1" applyProtection="1">
      <alignment horizontal="center" vertical="center" shrinkToFit="1"/>
    </xf>
    <xf numFmtId="4" fontId="12" fillId="0" borderId="72" xfId="0" applyNumberFormat="1" applyFont="1" applyFill="1" applyBorder="1" applyAlignment="1" applyProtection="1">
      <alignment horizontal="center" vertical="center" shrinkToFit="1"/>
    </xf>
    <xf numFmtId="4" fontId="12" fillId="0" borderId="24" xfId="0" applyNumberFormat="1" applyFont="1" applyFill="1" applyBorder="1" applyAlignment="1" applyProtection="1">
      <alignment horizontal="center" vertical="center" shrinkToFit="1"/>
    </xf>
    <xf numFmtId="4" fontId="12" fillId="0" borderId="83" xfId="0" applyNumberFormat="1" applyFont="1" applyFill="1" applyBorder="1" applyAlignment="1" applyProtection="1">
      <alignment horizontal="center" vertical="center" shrinkToFit="1"/>
    </xf>
    <xf numFmtId="0" fontId="10" fillId="0" borderId="49" xfId="0" applyNumberFormat="1" applyFont="1" applyFill="1" applyBorder="1" applyAlignment="1" applyProtection="1">
      <alignment horizontal="center" vertical="center" wrapText="1"/>
    </xf>
    <xf numFmtId="0" fontId="10" fillId="0" borderId="50" xfId="0" applyNumberFormat="1" applyFont="1" applyFill="1" applyBorder="1" applyAlignment="1" applyProtection="1">
      <alignment horizontal="center" vertical="center" wrapText="1"/>
    </xf>
    <xf numFmtId="0" fontId="10" fillId="0" borderId="51" xfId="0" applyNumberFormat="1" applyFont="1" applyFill="1" applyBorder="1" applyAlignment="1" applyProtection="1">
      <alignment horizontal="center" vertical="center" wrapText="1"/>
    </xf>
    <xf numFmtId="0" fontId="12" fillId="0" borderId="42" xfId="0" applyNumberFormat="1" applyFont="1" applyFill="1" applyBorder="1" applyAlignment="1" applyProtection="1">
      <alignment horizontal="left" vertical="center"/>
    </xf>
    <xf numFmtId="0" fontId="12" fillId="0" borderId="43" xfId="0" applyNumberFormat="1" applyFont="1" applyFill="1" applyBorder="1" applyAlignment="1" applyProtection="1">
      <alignment horizontal="left" vertical="center"/>
    </xf>
    <xf numFmtId="0" fontId="12" fillId="0" borderId="43" xfId="0" applyNumberFormat="1" applyFont="1" applyFill="1" applyBorder="1" applyAlignment="1" applyProtection="1">
      <alignment horizontal="center" vertical="center"/>
    </xf>
    <xf numFmtId="0" fontId="12" fillId="0" borderId="107" xfId="0" applyNumberFormat="1" applyFont="1" applyFill="1" applyBorder="1" applyAlignment="1" applyProtection="1">
      <alignment horizontal="left" vertical="center"/>
    </xf>
    <xf numFmtId="0" fontId="13" fillId="0" borderId="52" xfId="0" applyNumberFormat="1" applyFont="1" applyFill="1" applyBorder="1" applyAlignment="1" applyProtection="1">
      <alignment horizontal="left" vertical="center"/>
    </xf>
    <xf numFmtId="0" fontId="12" fillId="0" borderId="42" xfId="0" applyNumberFormat="1" applyFont="1" applyFill="1" applyBorder="1" applyAlignment="1" applyProtection="1">
      <alignment horizontal="center" vertical="center"/>
    </xf>
    <xf numFmtId="0" fontId="10" fillId="0" borderId="99" xfId="0" applyNumberFormat="1" applyFont="1" applyFill="1" applyBorder="1" applyAlignment="1" applyProtection="1">
      <alignment horizontal="center" vertical="top" wrapText="1"/>
    </xf>
    <xf numFmtId="0" fontId="12" fillId="0" borderId="21" xfId="0" applyNumberFormat="1" applyFont="1" applyFill="1" applyBorder="1" applyAlignment="1" applyProtection="1">
      <alignment horizontal="left" vertical="center"/>
    </xf>
    <xf numFmtId="0" fontId="40" fillId="0" borderId="18" xfId="0" applyNumberFormat="1" applyFont="1" applyFill="1" applyBorder="1" applyAlignment="1" applyProtection="1">
      <alignment horizontal="center" vertical="center" wrapText="1"/>
    </xf>
    <xf numFmtId="0" fontId="40" fillId="0" borderId="99" xfId="0" applyNumberFormat="1" applyFont="1" applyFill="1" applyBorder="1" applyAlignment="1" applyProtection="1">
      <alignment horizontal="center" vertical="center" wrapText="1"/>
    </xf>
    <xf numFmtId="0" fontId="12" fillId="0" borderId="29" xfId="0" applyNumberFormat="1" applyFont="1" applyFill="1" applyBorder="1" applyAlignment="1" applyProtection="1">
      <alignment horizontal="center" vertical="top"/>
    </xf>
    <xf numFmtId="0" fontId="12" fillId="0" borderId="30" xfId="0" applyNumberFormat="1" applyFont="1" applyFill="1" applyBorder="1" applyAlignment="1" applyProtection="1">
      <alignment horizontal="center" vertical="top"/>
    </xf>
    <xf numFmtId="0" fontId="12" fillId="0" borderId="107" xfId="0" applyNumberFormat="1" applyFont="1" applyFill="1" applyBorder="1" applyAlignment="1" applyProtection="1">
      <alignment horizontal="left" vertical="top" indent="8"/>
    </xf>
    <xf numFmtId="0" fontId="40" fillId="0" borderId="72" xfId="0" applyNumberFormat="1" applyFont="1" applyFill="1" applyBorder="1" applyAlignment="1" applyProtection="1">
      <alignment horizontal="center" vertical="top" wrapText="1"/>
    </xf>
    <xf numFmtId="0" fontId="40" fillId="0" borderId="21" xfId="0" applyNumberFormat="1" applyFont="1" applyFill="1" applyBorder="1" applyAlignment="1" applyProtection="1">
      <alignment horizontal="center" vertical="top" wrapText="1"/>
    </xf>
    <xf numFmtId="0" fontId="40" fillId="0" borderId="18" xfId="0" applyNumberFormat="1" applyFont="1" applyFill="1" applyBorder="1" applyAlignment="1" applyProtection="1">
      <alignment horizontal="center" vertical="top" wrapText="1"/>
    </xf>
    <xf numFmtId="0" fontId="40" fillId="0" borderId="99" xfId="0" applyNumberFormat="1" applyFont="1" applyFill="1" applyBorder="1" applyAlignment="1" applyProtection="1">
      <alignment horizontal="center" vertical="top" wrapText="1"/>
    </xf>
    <xf numFmtId="0" fontId="12" fillId="0" borderId="24" xfId="0" applyNumberFormat="1" applyFont="1" applyFill="1" applyBorder="1" applyAlignment="1" applyProtection="1">
      <alignment horizontal="left" vertical="top" indent="3"/>
    </xf>
    <xf numFmtId="0" fontId="12" fillId="0" borderId="25" xfId="0" applyNumberFormat="1" applyFont="1" applyFill="1" applyBorder="1" applyAlignment="1" applyProtection="1">
      <alignment horizontal="left" vertical="top" indent="3"/>
    </xf>
    <xf numFmtId="0" fontId="12" fillId="0" borderId="26" xfId="0" applyNumberFormat="1" applyFont="1" applyFill="1" applyBorder="1" applyAlignment="1" applyProtection="1">
      <alignment horizontal="left" vertical="top" indent="3"/>
    </xf>
    <xf numFmtId="0" fontId="12" fillId="0" borderId="26" xfId="0" applyNumberFormat="1" applyFont="1" applyFill="1" applyBorder="1" applyAlignment="1" applyProtection="1">
      <alignment horizontal="center" vertical="top"/>
    </xf>
    <xf numFmtId="0" fontId="12" fillId="0" borderId="83"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right" vertical="top"/>
    </xf>
    <xf numFmtId="0" fontId="12" fillId="0" borderId="98" xfId="0" applyNumberFormat="1" applyFont="1" applyFill="1" applyBorder="1" applyAlignment="1" applyProtection="1">
      <alignment horizontal="left" vertical="top" indent="8"/>
    </xf>
    <xf numFmtId="0" fontId="12" fillId="0" borderId="20" xfId="0" applyNumberFormat="1" applyFont="1" applyFill="1" applyBorder="1" applyAlignment="1" applyProtection="1">
      <alignment horizontal="left" vertical="center"/>
    </xf>
    <xf numFmtId="0" fontId="12" fillId="0" borderId="23" xfId="0" applyNumberFormat="1" applyFont="1" applyFill="1" applyBorder="1" applyAlignment="1" applyProtection="1">
      <alignment horizontal="left" vertical="center"/>
    </xf>
    <xf numFmtId="0" fontId="12" fillId="0" borderId="18" xfId="0" applyNumberFormat="1" applyFont="1" applyFill="1" applyBorder="1" applyAlignment="1" applyProtection="1">
      <alignment horizontal="left" vertical="center"/>
    </xf>
    <xf numFmtId="0" fontId="13" fillId="0" borderId="98" xfId="0" applyNumberFormat="1" applyFont="1" applyFill="1" applyBorder="1" applyAlignment="1" applyProtection="1">
      <alignment horizontal="right" vertical="center"/>
    </xf>
    <xf numFmtId="0" fontId="12" fillId="0" borderId="0" xfId="0" applyNumberFormat="1" applyFont="1" applyFill="1" applyBorder="1" applyAlignment="1" applyProtection="1">
      <alignment horizontal="left" vertical="center"/>
    </xf>
    <xf numFmtId="0" fontId="12" fillId="0" borderId="107" xfId="0" applyNumberFormat="1" applyFont="1" applyFill="1" applyBorder="1" applyAlignment="1" applyProtection="1">
      <alignment horizontal="left" vertical="center" wrapText="1"/>
    </xf>
    <xf numFmtId="0" fontId="13" fillId="0" borderId="43" xfId="0" applyNumberFormat="1" applyFont="1" applyFill="1" applyBorder="1" applyAlignment="1" applyProtection="1">
      <alignment vertical="center"/>
    </xf>
    <xf numFmtId="0" fontId="12" fillId="0" borderId="20" xfId="0" applyNumberFormat="1" applyFont="1" applyFill="1" applyBorder="1" applyAlignment="1" applyProtection="1">
      <alignment horizontal="center" vertical="center" shrinkToFit="1"/>
    </xf>
    <xf numFmtId="0" fontId="12" fillId="0" borderId="26" xfId="0" applyNumberFormat="1" applyFont="1" applyFill="1" applyBorder="1" applyAlignment="1" applyProtection="1">
      <alignment horizontal="center" vertical="center" shrinkToFit="1"/>
    </xf>
    <xf numFmtId="0" fontId="13" fillId="0" borderId="115" xfId="0" applyNumberFormat="1" applyFont="1" applyFill="1" applyBorder="1" applyAlignment="1" applyProtection="1">
      <alignment horizontal="center" vertical="center" shrinkToFit="1"/>
    </xf>
    <xf numFmtId="4" fontId="13" fillId="0" borderId="15" xfId="0" applyNumberFormat="1" applyFont="1" applyFill="1" applyBorder="1" applyAlignment="1" applyProtection="1">
      <alignment horizontal="center" vertical="center" shrinkToFit="1"/>
    </xf>
    <xf numFmtId="0" fontId="12" fillId="0" borderId="32" xfId="0" applyNumberFormat="1" applyFont="1" applyFill="1" applyBorder="1" applyAlignment="1" applyProtection="1">
      <alignment horizontal="center" vertical="center" shrinkToFit="1"/>
    </xf>
    <xf numFmtId="0" fontId="12" fillId="0" borderId="33" xfId="0" applyNumberFormat="1" applyFont="1" applyFill="1" applyBorder="1" applyAlignment="1" applyProtection="1">
      <alignment horizontal="center" vertical="center" shrinkToFit="1"/>
    </xf>
    <xf numFmtId="0" fontId="12" fillId="0" borderId="48" xfId="0" applyNumberFormat="1" applyFont="1" applyFill="1" applyBorder="1" applyAlignment="1" applyProtection="1">
      <alignment horizontal="center" vertical="center" shrinkToFit="1"/>
    </xf>
    <xf numFmtId="0" fontId="12" fillId="0" borderId="75" xfId="0" applyNumberFormat="1" applyFont="1" applyFill="1" applyBorder="1" applyAlignment="1" applyProtection="1">
      <alignment horizontal="center" vertical="center" shrinkToFit="1"/>
    </xf>
    <xf numFmtId="4" fontId="12" fillId="0" borderId="113" xfId="0" applyNumberFormat="1" applyFont="1" applyFill="1" applyBorder="1" applyAlignment="1" applyProtection="1">
      <alignment horizontal="center" vertical="center" shrinkToFit="1"/>
    </xf>
    <xf numFmtId="4" fontId="12" fillId="0" borderId="43" xfId="0" applyNumberFormat="1" applyFont="1" applyFill="1" applyBorder="1" applyAlignment="1" applyProtection="1">
      <alignment horizontal="center" vertical="center" shrinkToFit="1"/>
    </xf>
    <xf numFmtId="4" fontId="12" fillId="0" borderId="44" xfId="0" applyNumberFormat="1" applyFont="1" applyFill="1" applyBorder="1" applyAlignment="1" applyProtection="1">
      <alignment horizontal="center" vertical="center" shrinkToFit="1"/>
    </xf>
    <xf numFmtId="167" fontId="12" fillId="0" borderId="32" xfId="0" applyNumberFormat="1" applyFont="1" applyFill="1" applyBorder="1" applyAlignment="1" applyProtection="1">
      <alignment horizontal="center" vertical="center" shrinkToFit="1"/>
    </xf>
    <xf numFmtId="4" fontId="12" fillId="0" borderId="75" xfId="0" applyNumberFormat="1" applyFont="1" applyFill="1" applyBorder="1" applyAlignment="1" applyProtection="1">
      <alignment horizontal="center" vertical="center" shrinkToFit="1"/>
    </xf>
    <xf numFmtId="4" fontId="12" fillId="0" borderId="33" xfId="0" applyNumberFormat="1" applyFont="1" applyFill="1" applyBorder="1" applyAlignment="1" applyProtection="1">
      <alignment horizontal="center" vertical="center" shrinkToFit="1"/>
    </xf>
    <xf numFmtId="4" fontId="12" fillId="0" borderId="48" xfId="0" applyNumberFormat="1" applyFont="1" applyFill="1" applyBorder="1" applyAlignment="1" applyProtection="1">
      <alignment horizontal="center" vertical="center" shrinkToFit="1"/>
    </xf>
    <xf numFmtId="169" fontId="12" fillId="0" borderId="21" xfId="0" applyNumberFormat="1" applyFont="1" applyFill="1" applyBorder="1" applyAlignment="1" applyProtection="1">
      <alignment horizontal="center" vertical="center" shrinkToFit="1"/>
    </xf>
    <xf numFmtId="169" fontId="12" fillId="0" borderId="22" xfId="0" applyNumberFormat="1" applyFont="1" applyFill="1" applyBorder="1" applyAlignment="1" applyProtection="1">
      <alignment horizontal="center" vertical="center" shrinkToFit="1"/>
    </xf>
    <xf numFmtId="169" fontId="12" fillId="0" borderId="23" xfId="0" applyNumberFormat="1" applyFont="1" applyFill="1" applyBorder="1" applyAlignment="1" applyProtection="1">
      <alignment horizontal="center" vertical="center" shrinkToFit="1"/>
    </xf>
    <xf numFmtId="167" fontId="12" fillId="0" borderId="22" xfId="0" applyNumberFormat="1" applyFont="1" applyFill="1" applyBorder="1" applyAlignment="1" applyProtection="1">
      <alignment horizontal="center" vertical="center" shrinkToFit="1"/>
    </xf>
    <xf numFmtId="167" fontId="12" fillId="0" borderId="21" xfId="0" applyNumberFormat="1" applyFont="1" applyFill="1" applyBorder="1" applyAlignment="1" applyProtection="1">
      <alignment horizontal="center" vertical="center" shrinkToFit="1"/>
    </xf>
    <xf numFmtId="167" fontId="12" fillId="0" borderId="29" xfId="0" applyNumberFormat="1" applyFont="1" applyFill="1" applyBorder="1" applyAlignment="1" applyProtection="1">
      <alignment horizontal="center" vertical="center" shrinkToFit="1"/>
    </xf>
    <xf numFmtId="167" fontId="12" fillId="0" borderId="30" xfId="0" applyNumberFormat="1" applyFont="1" applyFill="1" applyBorder="1" applyAlignment="1" applyProtection="1">
      <alignment horizontal="center" vertical="center" shrinkToFit="1"/>
    </xf>
    <xf numFmtId="4" fontId="12" fillId="0" borderId="71" xfId="0" applyNumberFormat="1" applyFont="1" applyFill="1" applyBorder="1" applyAlignment="1" applyProtection="1">
      <alignment horizontal="center" vertical="center" shrinkToFit="1"/>
    </xf>
    <xf numFmtId="4" fontId="12" fillId="0" borderId="30" xfId="0" applyNumberFormat="1" applyFont="1" applyFill="1" applyBorder="1" applyAlignment="1" applyProtection="1">
      <alignment horizontal="center" vertical="center" shrinkToFit="1"/>
    </xf>
    <xf numFmtId="4" fontId="12" fillId="0" borderId="46" xfId="0" applyNumberFormat="1" applyFont="1" applyFill="1" applyBorder="1" applyAlignment="1" applyProtection="1">
      <alignment horizontal="center" vertical="center" shrinkToFit="1"/>
    </xf>
    <xf numFmtId="0" fontId="13" fillId="0" borderId="44" xfId="0" applyNumberFormat="1" applyFont="1" applyFill="1" applyBorder="1" applyAlignment="1" applyProtection="1">
      <alignment horizontal="center" vertical="center" shrinkToFit="1"/>
    </xf>
    <xf numFmtId="4" fontId="13" fillId="0" borderId="113" xfId="0" applyNumberFormat="1" applyFont="1" applyFill="1" applyBorder="1" applyAlignment="1" applyProtection="1">
      <alignment horizontal="center" vertical="center" shrinkToFit="1"/>
    </xf>
    <xf numFmtId="4" fontId="13" fillId="0" borderId="43" xfId="0" applyNumberFormat="1" applyFont="1" applyFill="1" applyBorder="1" applyAlignment="1" applyProtection="1">
      <alignment horizontal="center" vertical="center" shrinkToFit="1"/>
    </xf>
    <xf numFmtId="4" fontId="13" fillId="0" borderId="44" xfId="0" applyNumberFormat="1" applyFont="1" applyFill="1" applyBorder="1" applyAlignment="1" applyProtection="1">
      <alignment horizontal="center" vertical="center" shrinkToFit="1"/>
    </xf>
    <xf numFmtId="4" fontId="13" fillId="0" borderId="24" xfId="0" applyNumberFormat="1" applyFont="1" applyFill="1" applyBorder="1" applyAlignment="1" applyProtection="1">
      <alignment horizontal="center" vertical="center" shrinkToFit="1"/>
    </xf>
    <xf numFmtId="4" fontId="13" fillId="0" borderId="114" xfId="0" applyNumberFormat="1" applyFont="1" applyFill="1" applyBorder="1" applyAlignment="1" applyProtection="1">
      <alignment horizontal="center" vertical="center" shrinkToFit="1"/>
    </xf>
    <xf numFmtId="4" fontId="13" fillId="0" borderId="16" xfId="0" applyNumberFormat="1" applyFont="1" applyFill="1" applyBorder="1" applyAlignment="1" applyProtection="1">
      <alignment horizontal="center" vertical="center" shrinkToFit="1"/>
    </xf>
    <xf numFmtId="0" fontId="12" fillId="0" borderId="53" xfId="0" applyNumberFormat="1" applyFont="1" applyFill="1" applyBorder="1" applyAlignment="1" applyProtection="1">
      <alignment horizontal="center" vertical="center" shrinkToFit="1"/>
    </xf>
    <xf numFmtId="4" fontId="12" fillId="0" borderId="54" xfId="0" applyNumberFormat="1" applyFont="1" applyFill="1" applyBorder="1" applyAlignment="1" applyProtection="1">
      <alignment horizontal="center" vertical="center" shrinkToFit="1"/>
    </xf>
    <xf numFmtId="0" fontId="12" fillId="0" borderId="73" xfId="0" applyNumberFormat="1" applyFont="1" applyFill="1" applyBorder="1" applyAlignment="1" applyProtection="1">
      <alignment horizontal="center" vertical="center" shrinkToFit="1"/>
    </xf>
    <xf numFmtId="4" fontId="12" fillId="0" borderId="108" xfId="0" applyNumberFormat="1" applyFont="1" applyFill="1" applyBorder="1" applyAlignment="1" applyProtection="1">
      <alignment horizontal="center" vertical="center" shrinkToFit="1"/>
    </xf>
    <xf numFmtId="4" fontId="12" fillId="0" borderId="97" xfId="0" applyNumberFormat="1" applyFont="1" applyFill="1" applyBorder="1" applyAlignment="1" applyProtection="1">
      <alignment horizontal="center" vertical="center" shrinkToFit="1"/>
    </xf>
    <xf numFmtId="4" fontId="13" fillId="0" borderId="52" xfId="0" applyNumberFormat="1" applyFont="1" applyFill="1" applyBorder="1" applyAlignment="1" applyProtection="1">
      <alignment horizontal="center" vertical="center" shrinkToFit="1"/>
    </xf>
    <xf numFmtId="4" fontId="12" fillId="0" borderId="32" xfId="0" applyNumberFormat="1" applyFont="1" applyFill="1" applyBorder="1" applyAlignment="1" applyProtection="1">
      <alignment horizontal="center" vertical="center" shrinkToFit="1"/>
    </xf>
    <xf numFmtId="4" fontId="12" fillId="0" borderId="29" xfId="0" applyNumberFormat="1" applyFont="1" applyFill="1" applyBorder="1" applyAlignment="1" applyProtection="1">
      <alignment horizontal="center" vertical="center" shrinkToFit="1"/>
    </xf>
    <xf numFmtId="4" fontId="12" fillId="0" borderId="42" xfId="0" applyNumberFormat="1" applyFont="1" applyFill="1" applyBorder="1" applyAlignment="1" applyProtection="1">
      <alignment horizontal="center" vertical="center" shrinkToFit="1"/>
    </xf>
    <xf numFmtId="4" fontId="13" fillId="0" borderId="112" xfId="0" applyNumberFormat="1" applyFont="1" applyFill="1" applyBorder="1" applyAlignment="1" applyProtection="1">
      <alignment horizontal="center" vertical="center" shrinkToFit="1"/>
    </xf>
    <xf numFmtId="4" fontId="12" fillId="0" borderId="68" xfId="0" applyNumberFormat="1" applyFont="1" applyFill="1" applyBorder="1" applyAlignment="1" applyProtection="1">
      <alignment horizontal="center" vertical="center" shrinkToFit="1"/>
    </xf>
    <xf numFmtId="0" fontId="25" fillId="0" borderId="34" xfId="1" applyFont="1" applyBorder="1" applyAlignment="1">
      <alignment vertical="center" wrapText="1"/>
    </xf>
    <xf numFmtId="0" fontId="26" fillId="0" borderId="19" xfId="1" applyFont="1" applyBorder="1" applyAlignment="1">
      <alignment horizontal="center" vertical="center" wrapText="1"/>
    </xf>
    <xf numFmtId="0" fontId="16" fillId="2" borderId="0" xfId="0" applyFont="1" applyFill="1" applyAlignment="1">
      <alignment horizontal="center" vertical="center"/>
    </xf>
    <xf numFmtId="4" fontId="12" fillId="0" borderId="18" xfId="0" applyNumberFormat="1" applyFont="1" applyFill="1" applyBorder="1" applyAlignment="1" applyProtection="1">
      <alignment horizontal="center" vertical="center" shrinkToFit="1"/>
    </xf>
    <xf numFmtId="4" fontId="12" fillId="0" borderId="19" xfId="0" applyNumberFormat="1" applyFont="1" applyFill="1" applyBorder="1" applyAlignment="1" applyProtection="1">
      <alignment horizontal="center" vertical="center" shrinkToFit="1"/>
    </xf>
    <xf numFmtId="0" fontId="12" fillId="0" borderId="21" xfId="0" applyNumberFormat="1" applyFont="1" applyFill="1" applyBorder="1" applyAlignment="1" applyProtection="1">
      <alignment horizontal="center" vertical="center" shrinkToFit="1"/>
    </xf>
    <xf numFmtId="0" fontId="12" fillId="0" borderId="22" xfId="0" applyNumberFormat="1" applyFont="1" applyFill="1" applyBorder="1" applyAlignment="1" applyProtection="1">
      <alignment horizontal="center" vertical="center" shrinkToFit="1"/>
    </xf>
    <xf numFmtId="4" fontId="12" fillId="0" borderId="20" xfId="0" applyNumberFormat="1" applyFont="1" applyFill="1" applyBorder="1" applyAlignment="1" applyProtection="1">
      <alignment horizontal="center" vertical="center" shrinkToFit="1"/>
    </xf>
    <xf numFmtId="4" fontId="12" fillId="0" borderId="22" xfId="0" applyNumberFormat="1" applyFont="1" applyFill="1" applyBorder="1" applyAlignment="1" applyProtection="1">
      <alignment horizontal="center" vertical="center" shrinkToFit="1"/>
    </xf>
    <xf numFmtId="4" fontId="12" fillId="0" borderId="23" xfId="0" applyNumberFormat="1" applyFont="1" applyFill="1" applyBorder="1" applyAlignment="1" applyProtection="1">
      <alignment horizontal="center" vertical="center" shrinkToFit="1"/>
    </xf>
    <xf numFmtId="4" fontId="12" fillId="0" borderId="25" xfId="0" applyNumberFormat="1" applyFont="1" applyFill="1" applyBorder="1" applyAlignment="1" applyProtection="1">
      <alignment horizontal="center" vertical="center" shrinkToFit="1"/>
    </xf>
    <xf numFmtId="4" fontId="12" fillId="0" borderId="26" xfId="0" applyNumberFormat="1" applyFont="1" applyFill="1" applyBorder="1" applyAlignment="1" applyProtection="1">
      <alignment horizontal="center" vertical="center" shrinkToFit="1"/>
    </xf>
    <xf numFmtId="4" fontId="12" fillId="0" borderId="24" xfId="0" applyNumberFormat="1" applyFont="1" applyFill="1" applyBorder="1" applyAlignment="1" applyProtection="1">
      <alignment horizontal="center" vertical="center" shrinkToFit="1"/>
    </xf>
    <xf numFmtId="4" fontId="12" fillId="0" borderId="21" xfId="0" applyNumberFormat="1" applyFont="1" applyFill="1" applyBorder="1" applyAlignment="1" applyProtection="1">
      <alignment horizontal="center" vertical="center" shrinkToFit="1"/>
    </xf>
    <xf numFmtId="4" fontId="13" fillId="0" borderId="114" xfId="0" applyNumberFormat="1" applyFont="1" applyFill="1" applyBorder="1" applyAlignment="1" applyProtection="1">
      <alignment horizontal="center" vertical="center" shrinkToFit="1"/>
    </xf>
    <xf numFmtId="4" fontId="13" fillId="0" borderId="115" xfId="0" applyNumberFormat="1" applyFont="1" applyFill="1" applyBorder="1" applyAlignment="1" applyProtection="1">
      <alignment horizontal="center" vertical="center" shrinkToFit="1"/>
    </xf>
    <xf numFmtId="4" fontId="13" fillId="0" borderId="15" xfId="0" applyNumberFormat="1" applyFont="1" applyFill="1" applyBorder="1" applyAlignment="1" applyProtection="1">
      <alignment horizontal="center" vertical="center" shrinkToFit="1"/>
    </xf>
    <xf numFmtId="0" fontId="10" fillId="0" borderId="25" xfId="0" applyNumberFormat="1" applyFont="1" applyFill="1" applyBorder="1" applyAlignment="1" applyProtection="1">
      <alignment horizontal="center" vertical="top"/>
    </xf>
    <xf numFmtId="0" fontId="10" fillId="0" borderId="26" xfId="0" applyNumberFormat="1" applyFont="1" applyFill="1" applyBorder="1" applyAlignment="1" applyProtection="1">
      <alignment horizontal="center" vertical="top"/>
    </xf>
    <xf numFmtId="0" fontId="12" fillId="0" borderId="16" xfId="0" applyNumberFormat="1" applyFont="1" applyFill="1" applyBorder="1" applyAlignment="1" applyProtection="1">
      <alignment horizontal="center" vertical="center"/>
    </xf>
    <xf numFmtId="0" fontId="12" fillId="0" borderId="98" xfId="0" applyNumberFormat="1" applyFont="1" applyFill="1" applyBorder="1" applyAlignment="1" applyProtection="1">
      <alignment horizontal="left" vertical="center" wrapText="1"/>
    </xf>
    <xf numFmtId="0" fontId="13" fillId="0" borderId="17" xfId="0" applyNumberFormat="1" applyFont="1" applyFill="1" applyBorder="1" applyAlignment="1" applyProtection="1">
      <alignment horizontal="right" vertical="center"/>
    </xf>
    <xf numFmtId="4" fontId="12" fillId="0" borderId="99" xfId="0" applyNumberFormat="1" applyFont="1" applyFill="1" applyBorder="1" applyAlignment="1" applyProtection="1">
      <alignment horizontal="center" vertical="center" shrinkToFit="1"/>
    </xf>
    <xf numFmtId="0" fontId="12" fillId="0" borderId="97" xfId="0" applyNumberFormat="1" applyFont="1" applyFill="1" applyBorder="1" applyAlignment="1" applyProtection="1">
      <alignment horizontal="left" vertical="center" wrapText="1"/>
    </xf>
    <xf numFmtId="4" fontId="12" fillId="0" borderId="24" xfId="0" applyNumberFormat="1" applyFont="1" applyFill="1" applyBorder="1" applyAlignment="1" applyProtection="1">
      <alignment horizontal="center" shrinkToFit="1"/>
    </xf>
    <xf numFmtId="4" fontId="12" fillId="0" borderId="83" xfId="0" applyNumberFormat="1" applyFont="1" applyFill="1" applyBorder="1" applyAlignment="1" applyProtection="1">
      <alignment horizontal="center" shrinkToFit="1"/>
    </xf>
    <xf numFmtId="0" fontId="12" fillId="0" borderId="21" xfId="0" applyNumberFormat="1" applyFont="1" applyFill="1" applyBorder="1" applyAlignment="1" applyProtection="1">
      <alignment horizontal="center" vertical="center" shrinkToFit="1"/>
    </xf>
    <xf numFmtId="4" fontId="12" fillId="0" borderId="22" xfId="0" applyNumberFormat="1" applyFont="1" applyFill="1" applyBorder="1" applyAlignment="1" applyProtection="1">
      <alignment horizontal="center" vertical="center" shrinkToFit="1"/>
    </xf>
    <xf numFmtId="4" fontId="12" fillId="0" borderId="23" xfId="0" applyNumberFormat="1" applyFont="1" applyFill="1" applyBorder="1" applyAlignment="1" applyProtection="1">
      <alignment horizontal="center" vertical="center" shrinkToFit="1"/>
    </xf>
    <xf numFmtId="0" fontId="10" fillId="0" borderId="25" xfId="0" applyNumberFormat="1" applyFont="1" applyFill="1" applyBorder="1" applyAlignment="1" applyProtection="1">
      <alignment horizontal="center" vertical="center"/>
    </xf>
    <xf numFmtId="0" fontId="10" fillId="0" borderId="24" xfId="0" applyNumberFormat="1" applyFont="1" applyFill="1" applyBorder="1" applyAlignment="1" applyProtection="1">
      <alignment horizontal="center" vertical="center"/>
    </xf>
    <xf numFmtId="4" fontId="12" fillId="0" borderId="24" xfId="0" applyNumberFormat="1" applyFont="1" applyFill="1" applyBorder="1" applyAlignment="1" applyProtection="1">
      <alignment horizontal="center" vertical="center" shrinkToFit="1"/>
    </xf>
    <xf numFmtId="4" fontId="12" fillId="0" borderId="33" xfId="0" applyNumberFormat="1" applyFont="1" applyFill="1" applyBorder="1" applyAlignment="1" applyProtection="1">
      <alignment horizontal="center" vertical="center" shrinkToFit="1"/>
    </xf>
    <xf numFmtId="0" fontId="10" fillId="0" borderId="29" xfId="0" applyNumberFormat="1" applyFont="1" applyFill="1" applyBorder="1" applyAlignment="1" applyProtection="1">
      <alignment horizontal="center" vertical="center"/>
    </xf>
    <xf numFmtId="0" fontId="10" fillId="0" borderId="25" xfId="0" applyNumberFormat="1" applyFont="1" applyFill="1" applyBorder="1" applyAlignment="1" applyProtection="1">
      <alignment horizontal="center" vertical="top"/>
    </xf>
    <xf numFmtId="0" fontId="10" fillId="0" borderId="98" xfId="0" applyNumberFormat="1" applyFont="1" applyFill="1" applyBorder="1" applyAlignment="1" applyProtection="1">
      <alignment horizontal="center" vertical="center"/>
    </xf>
    <xf numFmtId="3" fontId="12" fillId="0" borderId="18" xfId="0" applyNumberFormat="1" applyFont="1" applyFill="1" applyBorder="1" applyAlignment="1" applyProtection="1">
      <alignment horizontal="center" vertical="center" shrinkToFit="1"/>
    </xf>
    <xf numFmtId="3" fontId="12" fillId="0" borderId="24" xfId="0" applyNumberFormat="1" applyFont="1" applyFill="1" applyBorder="1" applyAlignment="1" applyProtection="1">
      <alignment horizontal="center" vertical="center" shrinkToFit="1"/>
    </xf>
    <xf numFmtId="3" fontId="12" fillId="0" borderId="99" xfId="0" applyNumberFormat="1" applyFont="1" applyFill="1" applyBorder="1" applyAlignment="1" applyProtection="1">
      <alignment horizontal="center" vertical="center" shrinkToFit="1"/>
    </xf>
    <xf numFmtId="3" fontId="12" fillId="0" borderId="83" xfId="0" applyNumberFormat="1" applyFont="1" applyFill="1" applyBorder="1" applyAlignment="1" applyProtection="1">
      <alignment horizontal="center" vertical="center" shrinkToFit="1"/>
    </xf>
    <xf numFmtId="4" fontId="0" fillId="0" borderId="0" xfId="0" applyNumberFormat="1"/>
    <xf numFmtId="4" fontId="10" fillId="0" borderId="0" xfId="0" applyNumberFormat="1" applyFont="1"/>
    <xf numFmtId="0" fontId="47" fillId="0" borderId="0" xfId="0" applyFont="1" applyAlignment="1">
      <alignment horizontal="center" vertical="center"/>
    </xf>
    <xf numFmtId="4" fontId="40" fillId="0" borderId="0" xfId="0" applyNumberFormat="1" applyFont="1"/>
    <xf numFmtId="0" fontId="10" fillId="0" borderId="0" xfId="0" applyFont="1" applyAlignment="1">
      <alignment wrapText="1"/>
    </xf>
    <xf numFmtId="0" fontId="10" fillId="0" borderId="3" xfId="0" applyNumberFormat="1" applyFont="1" applyFill="1" applyBorder="1" applyAlignment="1" applyProtection="1">
      <alignment horizontal="center" vertical="center"/>
    </xf>
    <xf numFmtId="0" fontId="0" fillId="0" borderId="3" xfId="0" applyFont="1" applyBorder="1"/>
    <xf numFmtId="0" fontId="10" fillId="0" borderId="98" xfId="0" applyNumberFormat="1" applyFont="1" applyFill="1" applyBorder="1" applyAlignment="1" applyProtection="1">
      <alignment horizontal="center" vertical="top"/>
    </xf>
    <xf numFmtId="0" fontId="10" fillId="0" borderId="25" xfId="0" quotePrefix="1" applyNumberFormat="1" applyFont="1" applyFill="1" applyBorder="1" applyAlignment="1" applyProtection="1">
      <alignment horizontal="center" vertical="center"/>
    </xf>
    <xf numFmtId="4" fontId="13" fillId="0" borderId="15" xfId="0" applyNumberFormat="1" applyFont="1" applyFill="1" applyBorder="1" applyAlignment="1" applyProtection="1">
      <alignment horizontal="center" vertical="center" shrinkToFit="1"/>
    </xf>
    <xf numFmtId="4" fontId="10" fillId="0" borderId="0" xfId="0" applyNumberFormat="1" applyFont="1" applyAlignment="1">
      <alignment vertical="center"/>
    </xf>
    <xf numFmtId="2" fontId="12" fillId="0" borderId="83" xfId="0" applyNumberFormat="1" applyFont="1" applyFill="1" applyBorder="1" applyAlignment="1" applyProtection="1">
      <alignment horizontal="center" vertical="center" shrinkToFit="1"/>
    </xf>
    <xf numFmtId="2" fontId="12" fillId="0" borderId="25" xfId="0" applyNumberFormat="1" applyFont="1" applyFill="1" applyBorder="1" applyAlignment="1" applyProtection="1">
      <alignment horizontal="center" vertical="center" shrinkToFit="1"/>
    </xf>
    <xf numFmtId="2" fontId="12" fillId="0" borderId="26" xfId="0" applyNumberFormat="1" applyFont="1" applyFill="1" applyBorder="1" applyAlignment="1" applyProtection="1">
      <alignment horizontal="center" vertical="center" shrinkToFit="1"/>
    </xf>
    <xf numFmtId="0" fontId="4" fillId="0" borderId="0" xfId="1" applyFont="1" applyFill="1" applyBorder="1"/>
    <xf numFmtId="0" fontId="13" fillId="0" borderId="43" xfId="0" applyNumberFormat="1" applyFont="1" applyFill="1" applyBorder="1" applyAlignment="1" applyProtection="1">
      <alignment horizontal="center" vertical="center"/>
    </xf>
    <xf numFmtId="4" fontId="12" fillId="0" borderId="33" xfId="0" applyNumberFormat="1" applyFont="1" applyFill="1" applyBorder="1" applyAlignment="1" applyProtection="1">
      <alignment horizontal="center" vertical="center" shrinkToFit="1"/>
    </xf>
    <xf numFmtId="0" fontId="10" fillId="0" borderId="16" xfId="0" applyNumberFormat="1" applyFont="1" applyFill="1" applyBorder="1" applyAlignment="1" applyProtection="1">
      <alignment horizontal="center" vertical="top"/>
    </xf>
    <xf numFmtId="0" fontId="10" fillId="0" borderId="19" xfId="0" applyNumberFormat="1" applyFont="1" applyFill="1" applyBorder="1" applyAlignment="1" applyProtection="1">
      <alignment horizontal="center" vertical="center" wrapText="1"/>
    </xf>
    <xf numFmtId="0" fontId="10" fillId="0" borderId="25" xfId="0" applyNumberFormat="1" applyFont="1" applyFill="1" applyBorder="1" applyAlignment="1" applyProtection="1">
      <alignment horizontal="center" vertical="center"/>
    </xf>
    <xf numFmtId="4" fontId="12" fillId="0" borderId="22" xfId="0" applyNumberFormat="1" applyFont="1" applyFill="1" applyBorder="1" applyAlignment="1" applyProtection="1">
      <alignment horizontal="center" vertical="center" shrinkToFit="1"/>
    </xf>
    <xf numFmtId="0" fontId="10" fillId="0" borderId="83" xfId="0" applyNumberFormat="1" applyFont="1" applyFill="1" applyBorder="1" applyAlignment="1" applyProtection="1">
      <alignment horizontal="center" vertical="center"/>
    </xf>
    <xf numFmtId="0" fontId="10" fillId="0" borderId="26" xfId="0" applyNumberFormat="1" applyFont="1" applyFill="1" applyBorder="1" applyAlignment="1" applyProtection="1">
      <alignment horizontal="center" vertical="center"/>
    </xf>
    <xf numFmtId="4" fontId="12" fillId="0" borderId="23" xfId="0" applyNumberFormat="1" applyFont="1" applyFill="1" applyBorder="1" applyAlignment="1" applyProtection="1">
      <alignment horizontal="center" vertical="center" shrinkToFit="1"/>
    </xf>
    <xf numFmtId="4" fontId="12" fillId="0" borderId="24" xfId="0" applyNumberFormat="1" applyFont="1" applyFill="1" applyBorder="1" applyAlignment="1" applyProtection="1">
      <alignment horizontal="center" vertical="center" shrinkToFit="1"/>
    </xf>
    <xf numFmtId="4" fontId="12" fillId="0" borderId="25" xfId="0" applyNumberFormat="1" applyFont="1" applyFill="1" applyBorder="1" applyAlignment="1" applyProtection="1">
      <alignment horizontal="center" vertical="center" shrinkToFit="1"/>
    </xf>
    <xf numFmtId="4" fontId="12" fillId="0" borderId="26" xfId="0" applyNumberFormat="1" applyFont="1" applyFill="1" applyBorder="1" applyAlignment="1" applyProtection="1">
      <alignment horizontal="center" vertical="center" shrinkToFit="1"/>
    </xf>
    <xf numFmtId="4" fontId="12" fillId="0" borderId="18" xfId="0" applyNumberFormat="1" applyFont="1" applyFill="1" applyBorder="1" applyAlignment="1" applyProtection="1">
      <alignment horizontal="center" vertical="center" shrinkToFit="1"/>
    </xf>
    <xf numFmtId="4" fontId="12" fillId="0" borderId="19" xfId="0" applyNumberFormat="1" applyFont="1" applyFill="1" applyBorder="1" applyAlignment="1" applyProtection="1">
      <alignment horizontal="center" vertical="center" shrinkToFit="1"/>
    </xf>
    <xf numFmtId="4" fontId="12" fillId="0" borderId="20" xfId="0" applyNumberFormat="1" applyFont="1" applyFill="1" applyBorder="1" applyAlignment="1" applyProtection="1">
      <alignment horizontal="center" vertical="center" shrinkToFit="1"/>
    </xf>
    <xf numFmtId="4" fontId="12" fillId="0" borderId="21" xfId="0" applyNumberFormat="1" applyFont="1" applyFill="1" applyBorder="1" applyAlignment="1" applyProtection="1">
      <alignment horizontal="center" vertical="center" shrinkToFit="1"/>
    </xf>
    <xf numFmtId="0" fontId="10" fillId="0" borderId="24" xfId="0" applyNumberFormat="1" applyFont="1" applyFill="1" applyBorder="1" applyAlignment="1" applyProtection="1">
      <alignment horizontal="center" vertical="center"/>
    </xf>
    <xf numFmtId="0" fontId="12" fillId="0" borderId="21" xfId="0" applyNumberFormat="1" applyFont="1" applyFill="1" applyBorder="1" applyAlignment="1" applyProtection="1">
      <alignment horizontal="center" vertical="center" shrinkToFit="1"/>
    </xf>
    <xf numFmtId="0" fontId="12" fillId="0" borderId="22" xfId="0" applyNumberFormat="1" applyFont="1" applyFill="1" applyBorder="1" applyAlignment="1" applyProtection="1">
      <alignment horizontal="center" vertical="center" shrinkToFit="1"/>
    </xf>
    <xf numFmtId="0" fontId="10" fillId="0" borderId="26" xfId="0" applyNumberFormat="1" applyFont="1" applyFill="1" applyBorder="1" applyAlignment="1" applyProtection="1">
      <alignment horizontal="center" vertical="top"/>
    </xf>
    <xf numFmtId="0" fontId="12" fillId="0" borderId="22" xfId="0" applyNumberFormat="1" applyFont="1" applyFill="1" applyBorder="1" applyAlignment="1" applyProtection="1">
      <alignment horizontal="left" vertical="center" wrapText="1"/>
    </xf>
    <xf numFmtId="0" fontId="10" fillId="0" borderId="98" xfId="0" applyNumberFormat="1" applyFont="1" applyFill="1" applyBorder="1" applyAlignment="1" applyProtection="1">
      <alignment horizontal="center" vertical="center"/>
    </xf>
    <xf numFmtId="0" fontId="12" fillId="0" borderId="97" xfId="0" applyNumberFormat="1" applyFont="1" applyFill="1" applyBorder="1" applyAlignment="1" applyProtection="1">
      <alignment horizontal="left" vertical="center" wrapText="1"/>
    </xf>
    <xf numFmtId="0" fontId="12" fillId="0" borderId="25" xfId="0" applyNumberFormat="1" applyFont="1" applyFill="1" applyBorder="1" applyAlignment="1" applyProtection="1">
      <alignment horizontal="left" vertical="center" wrapText="1"/>
    </xf>
    <xf numFmtId="4" fontId="12" fillId="0" borderId="39" xfId="0" applyNumberFormat="1" applyFont="1" applyFill="1" applyBorder="1" applyAlignment="1" applyProtection="1">
      <alignment horizontal="center" vertical="center" shrinkToFit="1"/>
    </xf>
    <xf numFmtId="4" fontId="12" fillId="0" borderId="34" xfId="0" applyNumberFormat="1" applyFont="1" applyFill="1" applyBorder="1" applyAlignment="1" applyProtection="1">
      <alignment vertical="center" shrinkToFit="1"/>
    </xf>
    <xf numFmtId="4" fontId="12" fillId="0" borderId="39" xfId="0" applyNumberFormat="1" applyFont="1" applyFill="1" applyBorder="1" applyAlignment="1" applyProtection="1">
      <alignment vertical="center" shrinkToFit="1"/>
    </xf>
    <xf numFmtId="0" fontId="10" fillId="0" borderId="98" xfId="0" applyNumberFormat="1" applyFont="1" applyFill="1" applyBorder="1" applyAlignment="1" applyProtection="1">
      <alignment horizontal="center" vertical="top"/>
    </xf>
    <xf numFmtId="0" fontId="10" fillId="0" borderId="98" xfId="0" applyNumberFormat="1" applyFont="1" applyFill="1" applyBorder="1" applyAlignment="1" applyProtection="1">
      <alignment vertical="top"/>
    </xf>
    <xf numFmtId="0" fontId="12" fillId="0" borderId="95" xfId="0" applyNumberFormat="1" applyFont="1" applyFill="1" applyBorder="1" applyAlignment="1" applyProtection="1">
      <alignment vertical="center" wrapText="1"/>
    </xf>
    <xf numFmtId="0" fontId="12" fillId="0" borderId="98" xfId="0" applyNumberFormat="1" applyFont="1" applyFill="1" applyBorder="1" applyAlignment="1" applyProtection="1">
      <alignment vertical="center" wrapText="1"/>
    </xf>
    <xf numFmtId="0" fontId="13" fillId="0" borderId="52" xfId="0" applyNumberFormat="1" applyFont="1" applyFill="1" applyBorder="1" applyAlignment="1" applyProtection="1">
      <alignment vertical="center" wrapText="1"/>
    </xf>
    <xf numFmtId="0" fontId="12" fillId="0" borderId="39" xfId="0" applyNumberFormat="1" applyFont="1" applyFill="1" applyBorder="1" applyAlignment="1" applyProtection="1">
      <alignment horizontal="center" vertical="center"/>
    </xf>
    <xf numFmtId="0" fontId="12" fillId="0" borderId="41" xfId="0" applyNumberFormat="1" applyFont="1" applyFill="1" applyBorder="1" applyAlignment="1" applyProtection="1">
      <alignment horizontal="center" vertical="center"/>
    </xf>
    <xf numFmtId="0" fontId="12" fillId="0" borderId="17" xfId="0" applyNumberFormat="1" applyFont="1" applyFill="1" applyBorder="1" applyAlignment="1" applyProtection="1">
      <alignment horizontal="center" vertical="center"/>
    </xf>
    <xf numFmtId="0" fontId="12" fillId="0" borderId="16" xfId="0" applyNumberFormat="1" applyFont="1" applyFill="1" applyBorder="1" applyAlignment="1" applyProtection="1">
      <alignment horizontal="left" vertical="center"/>
    </xf>
    <xf numFmtId="0" fontId="12" fillId="0" borderId="115" xfId="0" applyNumberFormat="1" applyFont="1" applyFill="1" applyBorder="1" applyAlignment="1" applyProtection="1">
      <alignment horizontal="center" vertical="center"/>
    </xf>
    <xf numFmtId="4" fontId="12" fillId="0" borderId="53" xfId="0" applyNumberFormat="1" applyFont="1" applyFill="1" applyBorder="1" applyAlignment="1" applyProtection="1">
      <alignment horizontal="center" vertical="center" shrinkToFit="1"/>
    </xf>
    <xf numFmtId="0" fontId="40" fillId="11" borderId="0" xfId="0" applyNumberFormat="1" applyFont="1" applyFill="1" applyBorder="1" applyAlignment="1" applyProtection="1">
      <alignment horizontal="center" vertical="top"/>
    </xf>
    <xf numFmtId="0" fontId="40" fillId="11" borderId="0" xfId="0" applyNumberFormat="1" applyFont="1" applyFill="1" applyBorder="1" applyAlignment="1" applyProtection="1">
      <alignment vertical="top"/>
    </xf>
    <xf numFmtId="14" fontId="10" fillId="0" borderId="2" xfId="0" applyNumberFormat="1" applyFont="1" applyBorder="1" applyAlignment="1">
      <alignment horizontal="center"/>
    </xf>
    <xf numFmtId="0" fontId="35" fillId="8" borderId="0" xfId="1" applyFont="1" applyFill="1"/>
    <xf numFmtId="0" fontId="4" fillId="8" borderId="0" xfId="1" applyFont="1" applyFill="1"/>
    <xf numFmtId="0" fontId="14" fillId="7" borderId="84" xfId="1" applyFont="1" applyFill="1" applyBorder="1" applyAlignment="1">
      <alignment horizontal="center"/>
    </xf>
    <xf numFmtId="4" fontId="12" fillId="0" borderId="23" xfId="0" applyNumberFormat="1" applyFont="1" applyFill="1" applyBorder="1" applyAlignment="1" applyProtection="1">
      <alignment horizontal="center" vertical="center" shrinkToFit="1"/>
    </xf>
    <xf numFmtId="14" fontId="0" fillId="0" borderId="0" xfId="0" applyNumberFormat="1"/>
    <xf numFmtId="167" fontId="12" fillId="9" borderId="23" xfId="0" applyNumberFormat="1" applyFont="1" applyFill="1" applyBorder="1" applyAlignment="1">
      <alignment horizontal="right" vertical="center"/>
    </xf>
    <xf numFmtId="49" fontId="12" fillId="0" borderId="29" xfId="0" applyNumberFormat="1" applyFont="1" applyBorder="1" applyAlignment="1">
      <alignment horizontal="center" vertical="center"/>
    </xf>
    <xf numFmtId="167" fontId="12" fillId="9" borderId="21" xfId="0" applyNumberFormat="1" applyFont="1" applyFill="1" applyBorder="1" applyAlignment="1">
      <alignment horizontal="right" vertical="center"/>
    </xf>
    <xf numFmtId="167" fontId="12" fillId="9" borderId="22" xfId="0" applyNumberFormat="1" applyFont="1" applyFill="1" applyBorder="1" applyAlignment="1">
      <alignment horizontal="right" vertical="center"/>
    </xf>
    <xf numFmtId="0" fontId="12" fillId="0" borderId="42" xfId="0" applyNumberFormat="1" applyFont="1" applyBorder="1" applyAlignment="1">
      <alignment horizontal="center" vertical="center" wrapText="1"/>
    </xf>
    <xf numFmtId="49" fontId="12" fillId="0" borderId="32" xfId="0" applyNumberFormat="1" applyFont="1" applyBorder="1" applyAlignment="1">
      <alignment horizontal="center"/>
    </xf>
    <xf numFmtId="0" fontId="12" fillId="0" borderId="0" xfId="0" applyFont="1" applyAlignment="1">
      <alignment horizontal="center" vertical="center"/>
    </xf>
    <xf numFmtId="0" fontId="10" fillId="0" borderId="0" xfId="0" applyFont="1" applyAlignment="1">
      <alignment horizontal="left" vertical="center" wrapText="1" indent="1"/>
    </xf>
    <xf numFmtId="49" fontId="12" fillId="0" borderId="45" xfId="0" applyNumberFormat="1" applyFont="1" applyBorder="1" applyAlignment="1">
      <alignment horizontal="center" vertical="center" wrapText="1"/>
    </xf>
    <xf numFmtId="0" fontId="12" fillId="0" borderId="1" xfId="0" applyNumberFormat="1" applyFont="1" applyBorder="1" applyAlignment="1">
      <alignment horizontal="center" vertical="center"/>
    </xf>
    <xf numFmtId="0" fontId="12" fillId="0" borderId="0" xfId="0" applyNumberFormat="1" applyFont="1" applyBorder="1" applyAlignment="1">
      <alignment horizontal="center" vertical="center"/>
    </xf>
    <xf numFmtId="49" fontId="12" fillId="8" borderId="40" xfId="0" applyNumberFormat="1" applyFont="1" applyFill="1" applyBorder="1" applyAlignment="1">
      <alignment vertical="center" wrapText="1"/>
    </xf>
    <xf numFmtId="49" fontId="12" fillId="8" borderId="22" xfId="0" applyNumberFormat="1" applyFont="1" applyFill="1" applyBorder="1" applyAlignment="1">
      <alignment horizontal="center" vertical="center"/>
    </xf>
    <xf numFmtId="49" fontId="12" fillId="8" borderId="97" xfId="0" applyNumberFormat="1" applyFont="1" applyFill="1" applyBorder="1" applyAlignment="1">
      <alignment horizontal="center" vertical="center"/>
    </xf>
    <xf numFmtId="167" fontId="12" fillId="0" borderId="21" xfId="0" applyNumberFormat="1" applyFont="1" applyFill="1" applyBorder="1" applyAlignment="1">
      <alignment horizontal="right" vertical="center"/>
    </xf>
    <xf numFmtId="167" fontId="12" fillId="0" borderId="22" xfId="0" applyNumberFormat="1" applyFont="1" applyFill="1" applyBorder="1" applyAlignment="1">
      <alignment horizontal="right" vertical="center"/>
    </xf>
    <xf numFmtId="167" fontId="12" fillId="0" borderId="23" xfId="0" applyNumberFormat="1" applyFont="1" applyFill="1" applyBorder="1" applyAlignment="1">
      <alignment horizontal="right" vertical="center"/>
    </xf>
    <xf numFmtId="49" fontId="12" fillId="0" borderId="74" xfId="0" applyNumberFormat="1" applyFont="1" applyBorder="1" applyAlignment="1">
      <alignment horizontal="left" vertical="center" wrapText="1" indent="4"/>
    </xf>
    <xf numFmtId="49" fontId="12" fillId="0" borderId="38" xfId="0" applyNumberFormat="1" applyFont="1" applyBorder="1" applyAlignment="1">
      <alignment horizontal="left" vertical="center" wrapText="1" indent="5"/>
    </xf>
    <xf numFmtId="49" fontId="12" fillId="8" borderId="38" xfId="0" applyNumberFormat="1" applyFont="1" applyFill="1" applyBorder="1" applyAlignment="1">
      <alignment vertical="center" wrapText="1"/>
    </xf>
    <xf numFmtId="4" fontId="12" fillId="0" borderId="82" xfId="3" applyNumberFormat="1" applyFont="1" applyFill="1" applyBorder="1" applyAlignment="1">
      <alignment wrapText="1"/>
    </xf>
    <xf numFmtId="0" fontId="22" fillId="0" borderId="0" xfId="1" applyFont="1" applyFill="1" applyBorder="1" applyAlignment="1">
      <alignment horizontal="right" indent="1"/>
    </xf>
    <xf numFmtId="4" fontId="24" fillId="0" borderId="0" xfId="1" applyNumberFormat="1" applyFont="1" applyFill="1" applyBorder="1" applyAlignment="1"/>
    <xf numFmtId="4" fontId="24" fillId="0" borderId="73" xfId="1" applyNumberFormat="1" applyFont="1" applyFill="1" applyBorder="1" applyAlignment="1"/>
    <xf numFmtId="4" fontId="24" fillId="0" borderId="67" xfId="1" applyNumberFormat="1" applyFont="1" applyFill="1" applyBorder="1" applyAlignment="1"/>
    <xf numFmtId="4" fontId="24" fillId="0" borderId="75" xfId="1" applyNumberFormat="1" applyFont="1" applyFill="1" applyBorder="1" applyAlignment="1"/>
    <xf numFmtId="4" fontId="24" fillId="0" borderId="94" xfId="1" applyNumberFormat="1" applyFont="1" applyFill="1" applyBorder="1" applyAlignment="1"/>
    <xf numFmtId="4" fontId="24" fillId="0" borderId="102" xfId="1" applyNumberFormat="1" applyFont="1" applyFill="1" applyBorder="1" applyAlignment="1"/>
    <xf numFmtId="4" fontId="12" fillId="0" borderId="69" xfId="3" applyNumberFormat="1" applyFont="1" applyFill="1" applyBorder="1" applyAlignment="1">
      <alignment wrapText="1"/>
    </xf>
    <xf numFmtId="4" fontId="12" fillId="0" borderId="71" xfId="3" applyNumberFormat="1" applyFont="1" applyFill="1" applyBorder="1" applyAlignment="1">
      <alignment wrapText="1"/>
    </xf>
    <xf numFmtId="4" fontId="12" fillId="0" borderId="67" xfId="3" applyNumberFormat="1" applyFont="1" applyFill="1" applyBorder="1" applyAlignment="1">
      <alignment wrapText="1"/>
    </xf>
    <xf numFmtId="4" fontId="12" fillId="0" borderId="75" xfId="3" applyNumberFormat="1" applyFont="1" applyFill="1" applyBorder="1" applyAlignment="1">
      <alignment wrapText="1"/>
    </xf>
    <xf numFmtId="0" fontId="22" fillId="0" borderId="72" xfId="1" applyFont="1" applyFill="1" applyBorder="1" applyAlignment="1">
      <alignment horizontal="right" indent="1"/>
    </xf>
    <xf numFmtId="4" fontId="12" fillId="0" borderId="54" xfId="3" applyNumberFormat="1" applyFont="1" applyFill="1" applyBorder="1" applyAlignment="1">
      <alignment wrapText="1"/>
    </xf>
    <xf numFmtId="0" fontId="22" fillId="8" borderId="68" xfId="1" applyFont="1" applyFill="1" applyBorder="1" applyAlignment="1">
      <alignment horizontal="right" indent="1"/>
    </xf>
    <xf numFmtId="4" fontId="13" fillId="0" borderId="0" xfId="0" applyNumberFormat="1" applyFont="1" applyFill="1" applyBorder="1" applyAlignment="1" applyProtection="1">
      <alignment vertical="center"/>
    </xf>
    <xf numFmtId="167" fontId="13" fillId="0" borderId="0" xfId="0" applyNumberFormat="1" applyFont="1" applyAlignment="1">
      <alignment vertical="center"/>
    </xf>
    <xf numFmtId="49" fontId="12" fillId="8" borderId="21" xfId="0" applyNumberFormat="1" applyFont="1" applyFill="1" applyBorder="1" applyAlignment="1">
      <alignment horizontal="center" vertical="center"/>
    </xf>
    <xf numFmtId="49" fontId="12" fillId="8" borderId="29" xfId="0" applyNumberFormat="1" applyFont="1" applyFill="1" applyBorder="1" applyAlignment="1">
      <alignment horizontal="center" vertical="center"/>
    </xf>
    <xf numFmtId="0" fontId="22" fillId="0" borderId="22" xfId="1" applyFont="1" applyBorder="1" applyAlignment="1">
      <alignment horizontal="left" vertical="center" wrapText="1" indent="1"/>
    </xf>
    <xf numFmtId="0" fontId="22" fillId="0" borderId="25" xfId="1" applyFont="1" applyBorder="1" applyAlignment="1">
      <alignment horizontal="left" vertical="center" wrapText="1" indent="1"/>
    </xf>
    <xf numFmtId="0" fontId="14" fillId="0" borderId="0" xfId="0" applyNumberFormat="1" applyFont="1" applyBorder="1" applyAlignment="1">
      <alignment horizontal="center"/>
    </xf>
    <xf numFmtId="0" fontId="14" fillId="0" borderId="0" xfId="0" applyNumberFormat="1" applyFont="1" applyBorder="1" applyAlignment="1">
      <alignment horizontal="left" vertical="center" wrapText="1" indent="1"/>
    </xf>
    <xf numFmtId="0" fontId="2" fillId="0" borderId="0" xfId="1" applyFont="1"/>
    <xf numFmtId="0" fontId="1" fillId="0" borderId="0" xfId="1" applyFont="1"/>
    <xf numFmtId="0" fontId="22" fillId="0" borderId="18" xfId="1" applyFont="1" applyBorder="1" applyAlignment="1">
      <alignment horizontal="center" vertical="center" wrapText="1"/>
    </xf>
    <xf numFmtId="0" fontId="22" fillId="0" borderId="19" xfId="1" applyFont="1" applyBorder="1" applyAlignment="1">
      <alignment horizontal="center" vertical="center" wrapText="1"/>
    </xf>
    <xf numFmtId="0" fontId="22" fillId="0" borderId="21" xfId="1" applyFont="1" applyBorder="1" applyAlignment="1">
      <alignment horizontal="center" vertical="center" wrapText="1"/>
    </xf>
    <xf numFmtId="0" fontId="22" fillId="0" borderId="22"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21" xfId="1" applyFont="1" applyBorder="1" applyAlignment="1">
      <alignment horizontal="left" vertical="center" wrapText="1" indent="1"/>
    </xf>
    <xf numFmtId="0" fontId="22" fillId="0" borderId="22" xfId="1" applyFont="1" applyBorder="1" applyAlignment="1">
      <alignment horizontal="left" vertical="center" wrapText="1" indent="1"/>
    </xf>
    <xf numFmtId="0" fontId="22" fillId="0" borderId="72" xfId="1" applyFont="1" applyFill="1" applyBorder="1" applyAlignment="1">
      <alignment horizontal="left" vertical="center" indent="2"/>
    </xf>
    <xf numFmtId="0" fontId="22" fillId="0" borderId="22" xfId="1" applyFont="1" applyFill="1" applyBorder="1" applyAlignment="1">
      <alignment horizontal="left" vertical="center" indent="2"/>
    </xf>
    <xf numFmtId="0" fontId="22" fillId="0" borderId="104" xfId="1" applyFont="1" applyFill="1" applyBorder="1" applyAlignment="1">
      <alignment horizontal="center" vertical="center"/>
    </xf>
    <xf numFmtId="0" fontId="22" fillId="0" borderId="105" xfId="1" applyFont="1" applyFill="1" applyBorder="1" applyAlignment="1">
      <alignment horizontal="center" vertical="center"/>
    </xf>
    <xf numFmtId="0" fontId="22" fillId="0" borderId="106" xfId="1" applyFont="1" applyFill="1" applyBorder="1" applyAlignment="1">
      <alignment horizontal="center" vertical="center"/>
    </xf>
    <xf numFmtId="0" fontId="25" fillId="0" borderId="35" xfId="1" applyFont="1" applyBorder="1" applyAlignment="1">
      <alignment horizontal="center" vertical="center" wrapText="1"/>
    </xf>
    <xf numFmtId="0" fontId="25" fillId="0" borderId="96" xfId="1" applyFont="1" applyBorder="1" applyAlignment="1">
      <alignment horizontal="center" vertical="center"/>
    </xf>
    <xf numFmtId="0" fontId="25" fillId="0" borderId="99" xfId="1" applyFont="1" applyBorder="1" applyAlignment="1">
      <alignment horizontal="center" vertical="center"/>
    </xf>
    <xf numFmtId="0" fontId="22" fillId="0" borderId="18" xfId="1" applyFont="1" applyFill="1" applyBorder="1" applyAlignment="1">
      <alignment horizontal="left" vertical="center" indent="1"/>
    </xf>
    <xf numFmtId="0" fontId="22" fillId="0" borderId="19" xfId="1" applyFont="1" applyFill="1" applyBorder="1" applyAlignment="1">
      <alignment horizontal="left" vertical="center" indent="1"/>
    </xf>
    <xf numFmtId="0" fontId="22" fillId="0" borderId="95" xfId="1" applyFont="1" applyFill="1" applyBorder="1" applyAlignment="1">
      <alignment horizontal="left" vertical="center"/>
    </xf>
    <xf numFmtId="0" fontId="22" fillId="0" borderId="96" xfId="1" applyFont="1" applyFill="1" applyBorder="1" applyAlignment="1">
      <alignment horizontal="left" vertical="center"/>
    </xf>
    <xf numFmtId="0" fontId="22" fillId="0" borderId="34" xfId="1" applyFont="1" applyFill="1" applyBorder="1" applyAlignment="1">
      <alignment horizontal="left" vertical="center"/>
    </xf>
    <xf numFmtId="0" fontId="22" fillId="0" borderId="21" xfId="1" applyFont="1" applyFill="1" applyBorder="1" applyAlignment="1">
      <alignment horizontal="left" vertical="center" indent="1"/>
    </xf>
    <xf numFmtId="0" fontId="22" fillId="0" borderId="22" xfId="1" applyFont="1" applyFill="1" applyBorder="1" applyAlignment="1">
      <alignment horizontal="left" vertical="center" indent="1"/>
    </xf>
    <xf numFmtId="0" fontId="22" fillId="0" borderId="97" xfId="1" applyFont="1" applyFill="1" applyBorder="1" applyAlignment="1">
      <alignment horizontal="left" vertical="center"/>
    </xf>
    <xf numFmtId="0" fontId="22" fillId="0" borderId="68" xfId="1" applyFont="1" applyFill="1" applyBorder="1" applyAlignment="1">
      <alignment horizontal="left" vertical="center"/>
    </xf>
    <xf numFmtId="0" fontId="22" fillId="0" borderId="27" xfId="1" applyFont="1" applyFill="1" applyBorder="1" applyAlignment="1">
      <alignment horizontal="left" vertical="center"/>
    </xf>
    <xf numFmtId="0" fontId="22" fillId="0" borderId="24" xfId="1" applyFont="1" applyFill="1" applyBorder="1" applyAlignment="1">
      <alignment horizontal="left" vertical="center" indent="1"/>
    </xf>
    <xf numFmtId="0" fontId="22" fillId="0" borderId="25" xfId="1" applyFont="1" applyFill="1" applyBorder="1" applyAlignment="1">
      <alignment horizontal="left" vertical="center" indent="1"/>
    </xf>
    <xf numFmtId="0" fontId="22" fillId="0" borderId="98" xfId="1" applyFont="1" applyFill="1" applyBorder="1" applyAlignment="1">
      <alignment horizontal="left" vertical="center"/>
    </xf>
    <xf numFmtId="0" fontId="22" fillId="0" borderId="70" xfId="1" applyFont="1" applyFill="1" applyBorder="1" applyAlignment="1">
      <alignment horizontal="left" vertical="center"/>
    </xf>
    <xf numFmtId="0" fontId="22" fillId="0" borderId="28" xfId="1" applyFont="1" applyFill="1" applyBorder="1" applyAlignment="1">
      <alignment horizontal="left" vertical="center"/>
    </xf>
    <xf numFmtId="0" fontId="22" fillId="0" borderId="85" xfId="1" applyFont="1" applyFill="1" applyBorder="1" applyAlignment="1">
      <alignment horizontal="center" vertical="center"/>
    </xf>
    <xf numFmtId="0" fontId="22" fillId="0" borderId="86" xfId="1" applyFont="1" applyFill="1" applyBorder="1" applyAlignment="1">
      <alignment horizontal="center" vertical="center"/>
    </xf>
    <xf numFmtId="0" fontId="22" fillId="0" borderId="103" xfId="1" applyFont="1" applyFill="1" applyBorder="1" applyAlignment="1">
      <alignment horizontal="center" vertical="center"/>
    </xf>
    <xf numFmtId="0" fontId="22" fillId="0" borderId="84" xfId="1" applyFont="1" applyFill="1" applyBorder="1" applyAlignment="1">
      <alignment horizontal="center" vertical="center"/>
    </xf>
    <xf numFmtId="0" fontId="22" fillId="0" borderId="118" xfId="1" applyFont="1" applyFill="1" applyBorder="1" applyAlignment="1">
      <alignment horizontal="center" vertical="center"/>
    </xf>
    <xf numFmtId="0" fontId="22" fillId="0" borderId="103" xfId="1" applyFont="1" applyFill="1" applyBorder="1" applyAlignment="1">
      <alignment horizontal="left" vertical="center" indent="2"/>
    </xf>
    <xf numFmtId="0" fontId="22" fillId="0" borderId="84" xfId="1" applyFont="1" applyFill="1" applyBorder="1" applyAlignment="1">
      <alignment horizontal="left" vertical="center" indent="2"/>
    </xf>
    <xf numFmtId="0" fontId="22" fillId="0" borderId="101" xfId="1" applyFont="1" applyFill="1" applyBorder="1" applyAlignment="1">
      <alignment horizontal="left" vertical="center" indent="2"/>
    </xf>
    <xf numFmtId="0" fontId="22" fillId="0" borderId="24" xfId="1" applyFont="1" applyBorder="1" applyAlignment="1">
      <alignment horizontal="left" vertical="center" wrapText="1" indent="1"/>
    </xf>
    <xf numFmtId="0" fontId="22" fillId="0" borderId="25" xfId="1" applyFont="1" applyBorder="1" applyAlignment="1">
      <alignment horizontal="left" vertical="center" wrapText="1" indent="1"/>
    </xf>
    <xf numFmtId="0" fontId="22" fillId="0" borderId="42" xfId="1" applyFont="1" applyBorder="1" applyAlignment="1">
      <alignment horizontal="left" vertical="center" wrapText="1" indent="1"/>
    </xf>
    <xf numFmtId="0" fontId="22" fillId="0" borderId="43" xfId="1" applyFont="1" applyBorder="1" applyAlignment="1">
      <alignment horizontal="left" vertical="center" wrapText="1" indent="1"/>
    </xf>
    <xf numFmtId="0" fontId="22" fillId="0" borderId="35" xfId="1" applyFont="1" applyBorder="1" applyAlignment="1">
      <alignment horizontal="left" vertical="center" wrapText="1" indent="1"/>
    </xf>
    <xf numFmtId="0" fontId="22" fillId="0" borderId="96" xfId="1" applyFont="1" applyBorder="1" applyAlignment="1">
      <alignment horizontal="left" vertical="center" wrapText="1" indent="1"/>
    </xf>
    <xf numFmtId="0" fontId="22" fillId="0" borderId="99" xfId="1" applyFont="1" applyBorder="1" applyAlignment="1">
      <alignment horizontal="left" vertical="center" wrapText="1" indent="1"/>
    </xf>
    <xf numFmtId="0" fontId="22" fillId="3" borderId="67" xfId="1" applyFont="1" applyFill="1" applyBorder="1" applyAlignment="1">
      <alignment horizontal="left" vertical="center" indent="1"/>
    </xf>
    <xf numFmtId="14" fontId="22" fillId="3" borderId="69" xfId="1" applyNumberFormat="1" applyFont="1" applyFill="1" applyBorder="1" applyAlignment="1">
      <alignment horizontal="left" vertical="center" indent="1"/>
    </xf>
    <xf numFmtId="14" fontId="22" fillId="3" borderId="71" xfId="1" applyNumberFormat="1" applyFont="1" applyFill="1" applyBorder="1" applyAlignment="1">
      <alignment horizontal="left" vertical="center" indent="1"/>
    </xf>
    <xf numFmtId="0" fontId="22" fillId="0" borderId="68" xfId="1" applyFont="1" applyFill="1" applyBorder="1" applyAlignment="1">
      <alignment horizontal="left" vertical="center" indent="2"/>
    </xf>
    <xf numFmtId="0" fontId="22" fillId="0" borderId="68" xfId="1" applyFont="1" applyFill="1" applyBorder="1" applyAlignment="1">
      <alignment horizontal="left" vertical="center" indent="3"/>
    </xf>
    <xf numFmtId="0" fontId="22" fillId="0" borderId="72" xfId="1" applyFont="1" applyFill="1" applyBorder="1" applyAlignment="1">
      <alignment horizontal="left" vertical="center" indent="3"/>
    </xf>
    <xf numFmtId="0" fontId="22" fillId="0" borderId="77" xfId="1" applyFont="1" applyFill="1" applyBorder="1" applyAlignment="1">
      <alignment horizontal="left" vertical="center" indent="2"/>
    </xf>
    <xf numFmtId="0" fontId="22" fillId="0" borderId="78" xfId="1" applyFont="1" applyFill="1" applyBorder="1" applyAlignment="1">
      <alignment horizontal="left" vertical="center" indent="2"/>
    </xf>
    <xf numFmtId="0" fontId="14" fillId="0" borderId="0" xfId="0" applyNumberFormat="1" applyFont="1" applyBorder="1" applyAlignment="1">
      <alignment horizontal="center"/>
    </xf>
    <xf numFmtId="0" fontId="14" fillId="0" borderId="35" xfId="0" applyNumberFormat="1" applyFont="1" applyBorder="1" applyAlignment="1">
      <alignment horizontal="center"/>
    </xf>
    <xf numFmtId="0" fontId="14" fillId="0" borderId="34" xfId="0" applyNumberFormat="1" applyFont="1" applyBorder="1" applyAlignment="1">
      <alignment horizontal="center"/>
    </xf>
    <xf numFmtId="0" fontId="14" fillId="0" borderId="38" xfId="0" applyFont="1" applyBorder="1" applyAlignment="1">
      <alignment horizontal="center" vertical="center"/>
    </xf>
    <xf numFmtId="0" fontId="14" fillId="0" borderId="27" xfId="0" applyFont="1" applyBorder="1" applyAlignment="1">
      <alignment horizontal="center" vertical="center"/>
    </xf>
    <xf numFmtId="0" fontId="12" fillId="0" borderId="0" xfId="0" applyFont="1" applyBorder="1" applyAlignment="1">
      <alignment horizontal="right" vertical="center" indent="1"/>
    </xf>
    <xf numFmtId="14" fontId="14" fillId="0" borderId="36" xfId="0" applyNumberFormat="1" applyFont="1" applyBorder="1" applyAlignment="1">
      <alignment horizontal="center" vertical="center"/>
    </xf>
    <xf numFmtId="0" fontId="14" fillId="0" borderId="31" xfId="0" applyFont="1" applyBorder="1" applyAlignment="1">
      <alignment horizontal="center" vertical="center"/>
    </xf>
    <xf numFmtId="0" fontId="14" fillId="0" borderId="35" xfId="0" applyFont="1" applyBorder="1" applyAlignment="1">
      <alignment horizontal="center" vertical="center"/>
    </xf>
    <xf numFmtId="0" fontId="14" fillId="0" borderId="34" xfId="0" applyFont="1" applyBorder="1" applyAlignment="1">
      <alignment horizontal="center" vertical="center"/>
    </xf>
    <xf numFmtId="0" fontId="14" fillId="0" borderId="37" xfId="0" applyFont="1" applyBorder="1" applyAlignment="1">
      <alignment horizontal="center" vertical="center"/>
    </xf>
    <xf numFmtId="0" fontId="14" fillId="0" borderId="28" xfId="0" applyFont="1" applyBorder="1" applyAlignment="1">
      <alignment horizontal="center" vertical="center"/>
    </xf>
    <xf numFmtId="0" fontId="14" fillId="0" borderId="0" xfId="0" applyNumberFormat="1" applyFont="1" applyBorder="1" applyAlignment="1">
      <alignment horizontal="left" vertical="center" wrapText="1" inden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2" xfId="0" applyNumberFormat="1" applyFont="1" applyBorder="1" applyAlignment="1">
      <alignment horizontal="left" vertical="center" wrapText="1" indent="1"/>
    </xf>
    <xf numFmtId="0" fontId="14" fillId="0" borderId="15" xfId="0" applyFont="1" applyBorder="1" applyAlignment="1">
      <alignment horizontal="right"/>
    </xf>
    <xf numFmtId="0" fontId="14" fillId="0" borderId="17" xfId="0" applyFont="1" applyBorder="1" applyAlignment="1">
      <alignment horizontal="right"/>
    </xf>
    <xf numFmtId="0" fontId="12" fillId="0" borderId="1" xfId="0" applyFont="1" applyBorder="1" applyAlignment="1">
      <alignment horizontal="center" vertic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0" xfId="0" applyNumberFormat="1" applyFont="1" applyBorder="1" applyAlignment="1">
      <alignment horizontal="center" wrapText="1"/>
    </xf>
    <xf numFmtId="0" fontId="14" fillId="0" borderId="2"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167" fontId="12" fillId="9" borderId="23" xfId="0" applyNumberFormat="1" applyFont="1" applyFill="1" applyBorder="1" applyAlignment="1">
      <alignment horizontal="right" vertical="center"/>
    </xf>
    <xf numFmtId="49" fontId="12" fillId="0" borderId="29" xfId="0" applyNumberFormat="1" applyFont="1" applyBorder="1" applyAlignment="1">
      <alignment horizontal="center" vertical="center"/>
    </xf>
    <xf numFmtId="49" fontId="12" fillId="0" borderId="32"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33" xfId="0" applyNumberFormat="1" applyFont="1" applyBorder="1" applyAlignment="1">
      <alignment horizontal="center" vertical="center"/>
    </xf>
    <xf numFmtId="49" fontId="12" fillId="0" borderId="107" xfId="0" applyNumberFormat="1" applyFont="1" applyBorder="1" applyAlignment="1">
      <alignment horizontal="center" vertical="center"/>
    </xf>
    <xf numFmtId="49" fontId="12" fillId="0" borderId="108" xfId="0" applyNumberFormat="1" applyFont="1" applyBorder="1" applyAlignment="1">
      <alignment horizontal="center" vertical="center"/>
    </xf>
    <xf numFmtId="167" fontId="12" fillId="9" borderId="29" xfId="0" applyNumberFormat="1" applyFont="1" applyFill="1" applyBorder="1" applyAlignment="1">
      <alignment horizontal="right" vertical="center"/>
    </xf>
    <xf numFmtId="167" fontId="12" fillId="9" borderId="32" xfId="0" applyNumberFormat="1" applyFont="1" applyFill="1" applyBorder="1" applyAlignment="1">
      <alignment horizontal="right" vertical="center"/>
    </xf>
    <xf numFmtId="167" fontId="12" fillId="9" borderId="30" xfId="0" applyNumberFormat="1" applyFont="1" applyFill="1" applyBorder="1" applyAlignment="1">
      <alignment horizontal="right" vertical="center"/>
    </xf>
    <xf numFmtId="167" fontId="12" fillId="9" borderId="33" xfId="0" applyNumberFormat="1" applyFont="1" applyFill="1" applyBorder="1" applyAlignment="1">
      <alignment horizontal="right" vertical="center"/>
    </xf>
    <xf numFmtId="167" fontId="12" fillId="9" borderId="46" xfId="0" applyNumberFormat="1" applyFont="1" applyFill="1" applyBorder="1" applyAlignment="1">
      <alignment horizontal="right" vertical="center"/>
    </xf>
    <xf numFmtId="167" fontId="12" fillId="9" borderId="48" xfId="0" applyNumberFormat="1" applyFont="1" applyFill="1" applyBorder="1" applyAlignment="1">
      <alignment horizontal="right" vertical="center"/>
    </xf>
    <xf numFmtId="167" fontId="12" fillId="9" borderId="21" xfId="0" applyNumberFormat="1" applyFont="1" applyFill="1" applyBorder="1" applyAlignment="1">
      <alignment horizontal="right" vertical="center"/>
    </xf>
    <xf numFmtId="167" fontId="12" fillId="9" borderId="22" xfId="0" applyNumberFormat="1" applyFont="1" applyFill="1" applyBorder="1" applyAlignment="1">
      <alignment horizontal="right" vertical="center"/>
    </xf>
    <xf numFmtId="0" fontId="16" fillId="0" borderId="0" xfId="0" applyNumberFormat="1" applyFont="1" applyBorder="1" applyAlignment="1">
      <alignment horizontal="center"/>
    </xf>
    <xf numFmtId="0" fontId="12" fillId="0" borderId="3" xfId="0" applyNumberFormat="1" applyFont="1" applyBorder="1" applyAlignment="1">
      <alignment horizontal="center" vertical="center"/>
    </xf>
    <xf numFmtId="0" fontId="12" fillId="0" borderId="42" xfId="0" applyNumberFormat="1" applyFont="1" applyBorder="1" applyAlignment="1">
      <alignment horizontal="center" vertical="center" wrapText="1"/>
    </xf>
    <xf numFmtId="0" fontId="12" fillId="0" borderId="43" xfId="0" applyNumberFormat="1" applyFont="1" applyBorder="1" applyAlignment="1">
      <alignment horizontal="center" vertical="center" wrapText="1"/>
    </xf>
    <xf numFmtId="0" fontId="12" fillId="0" borderId="44"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49" fontId="12" fillId="0" borderId="29" xfId="0" applyNumberFormat="1" applyFont="1" applyBorder="1" applyAlignment="1">
      <alignment horizontal="center"/>
    </xf>
    <xf numFmtId="49" fontId="12" fillId="0" borderId="32" xfId="0" applyNumberFormat="1" applyFont="1" applyBorder="1" applyAlignment="1">
      <alignment horizontal="center"/>
    </xf>
    <xf numFmtId="49" fontId="12" fillId="0" borderId="30" xfId="0" applyNumberFormat="1" applyFont="1" applyFill="1" applyBorder="1" applyAlignment="1">
      <alignment horizontal="center"/>
    </xf>
    <xf numFmtId="49" fontId="12" fillId="0" borderId="33" xfId="0" applyNumberFormat="1" applyFont="1" applyFill="1" applyBorder="1" applyAlignment="1">
      <alignment horizontal="center"/>
    </xf>
    <xf numFmtId="49" fontId="12" fillId="0" borderId="107" xfId="0" applyNumberFormat="1" applyFont="1" applyBorder="1" applyAlignment="1">
      <alignment horizontal="center"/>
    </xf>
    <xf numFmtId="49" fontId="12" fillId="0" borderId="108" xfId="0" applyNumberFormat="1" applyFont="1" applyBorder="1" applyAlignment="1">
      <alignment horizontal="center"/>
    </xf>
    <xf numFmtId="167" fontId="12" fillId="9" borderId="21" xfId="0" applyNumberFormat="1" applyFont="1" applyFill="1" applyBorder="1" applyAlignment="1">
      <alignment horizontal="center" vertical="center"/>
    </xf>
    <xf numFmtId="167" fontId="12" fillId="9" borderId="22" xfId="0" applyNumberFormat="1" applyFont="1" applyFill="1" applyBorder="1" applyAlignment="1">
      <alignment horizontal="center" vertical="center"/>
    </xf>
    <xf numFmtId="167" fontId="12" fillId="9" borderId="23" xfId="0" applyNumberFormat="1" applyFont="1" applyFill="1" applyBorder="1" applyAlignment="1">
      <alignment horizontal="center" vertical="center"/>
    </xf>
    <xf numFmtId="0" fontId="12" fillId="0" borderId="0" xfId="0" applyFont="1" applyAlignment="1">
      <alignment horizontal="center" vertical="center"/>
    </xf>
    <xf numFmtId="0" fontId="10" fillId="0" borderId="0" xfId="0" quotePrefix="1" applyNumberFormat="1" applyFont="1" applyBorder="1" applyAlignment="1">
      <alignment horizontal="left" vertical="center" wrapText="1" indent="5"/>
    </xf>
    <xf numFmtId="0" fontId="10" fillId="0" borderId="0" xfId="0" applyNumberFormat="1" applyFont="1" applyBorder="1" applyAlignment="1">
      <alignment horizontal="left" vertical="center" wrapText="1" indent="5"/>
    </xf>
    <xf numFmtId="0" fontId="10" fillId="0" borderId="0" xfId="0" applyNumberFormat="1" applyFont="1" applyBorder="1" applyAlignment="1">
      <alignment horizontal="left" vertical="center" wrapText="1" indent="3"/>
    </xf>
    <xf numFmtId="49" fontId="12" fillId="0" borderId="37" xfId="0" applyNumberFormat="1" applyFont="1" applyBorder="1" applyAlignment="1">
      <alignment horizontal="left" vertical="center" wrapText="1" indent="1"/>
    </xf>
    <xf numFmtId="49" fontId="12" fillId="0" borderId="28" xfId="0" applyNumberFormat="1" applyFont="1" applyBorder="1" applyAlignment="1">
      <alignment horizontal="left" vertical="center" wrapText="1" indent="1"/>
    </xf>
    <xf numFmtId="0" fontId="10" fillId="0" borderId="0" xfId="0" applyFont="1" applyAlignment="1">
      <alignment horizontal="center"/>
    </xf>
    <xf numFmtId="0" fontId="17" fillId="0" borderId="0" xfId="0" applyFont="1" applyAlignment="1">
      <alignment horizontal="left" vertical="center" wrapText="1" indent="1"/>
    </xf>
    <xf numFmtId="0" fontId="12" fillId="0" borderId="0" xfId="0" applyFont="1" applyAlignment="1">
      <alignment horizontal="left" vertical="center" wrapText="1" indent="1"/>
    </xf>
    <xf numFmtId="0" fontId="10" fillId="0" borderId="0" xfId="0" applyFont="1" applyAlignment="1">
      <alignment horizontal="left" vertical="center" wrapText="1" indent="1"/>
    </xf>
    <xf numFmtId="49" fontId="12" fillId="0" borderId="45"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35" xfId="0" applyNumberFormat="1" applyFont="1" applyBorder="1" applyAlignment="1">
      <alignment horizontal="left" vertical="center" wrapText="1" indent="1"/>
    </xf>
    <xf numFmtId="49" fontId="12" fillId="0" borderId="34" xfId="0" applyNumberFormat="1" applyFont="1" applyBorder="1" applyAlignment="1">
      <alignment horizontal="left" vertical="center" wrapText="1" indent="1"/>
    </xf>
    <xf numFmtId="49" fontId="12" fillId="0" borderId="38" xfId="0" applyNumberFormat="1" applyFont="1" applyBorder="1" applyAlignment="1">
      <alignment horizontal="left" vertical="center" wrapText="1" indent="1"/>
    </xf>
    <xf numFmtId="49" fontId="12" fillId="0" borderId="27" xfId="0" applyNumberFormat="1" applyFont="1" applyBorder="1" applyAlignment="1">
      <alignment horizontal="left" vertical="center" wrapText="1" indent="1"/>
    </xf>
    <xf numFmtId="0" fontId="12" fillId="0" borderId="12" xfId="0" applyFont="1" applyBorder="1" applyAlignment="1">
      <alignment horizontal="center" vertical="center" wrapTex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6"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12" fillId="0" borderId="9" xfId="0" applyNumberFormat="1" applyFont="1" applyBorder="1" applyAlignment="1">
      <alignment horizontal="center" vertical="center"/>
    </xf>
    <xf numFmtId="49" fontId="13" fillId="0" borderId="4" xfId="0" applyNumberFormat="1" applyFont="1" applyBorder="1" applyAlignment="1">
      <alignment horizontal="center" wrapText="1"/>
    </xf>
    <xf numFmtId="49" fontId="13" fillId="0" borderId="5" xfId="0" applyNumberFormat="1" applyFont="1" applyBorder="1" applyAlignment="1">
      <alignment horizontal="center" wrapText="1"/>
    </xf>
    <xf numFmtId="0" fontId="12" fillId="0" borderId="15" xfId="0" applyNumberFormat="1" applyFont="1" applyBorder="1" applyAlignment="1">
      <alignment horizontal="center"/>
    </xf>
    <xf numFmtId="0" fontId="12" fillId="0" borderId="17" xfId="0" applyNumberFormat="1"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2" fillId="0" borderId="16" xfId="0" applyNumberFormat="1" applyFont="1" applyBorder="1" applyAlignment="1">
      <alignment horizontal="center" vertical="center"/>
    </xf>
    <xf numFmtId="0" fontId="12" fillId="0" borderId="17" xfId="0" applyNumberFormat="1"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60" xfId="0" applyFont="1" applyBorder="1" applyAlignment="1">
      <alignment horizontal="center"/>
    </xf>
    <xf numFmtId="0" fontId="12" fillId="0" borderId="2" xfId="0" applyFont="1" applyBorder="1" applyAlignment="1">
      <alignment horizontal="center"/>
    </xf>
    <xf numFmtId="0" fontId="12" fillId="0" borderId="61" xfId="0" applyFont="1" applyBorder="1" applyAlignment="1">
      <alignment horizontal="center"/>
    </xf>
    <xf numFmtId="0" fontId="12" fillId="0" borderId="62" xfId="0" applyFont="1" applyBorder="1" applyAlignment="1">
      <alignment horizontal="center"/>
    </xf>
    <xf numFmtId="0" fontId="12" fillId="0" borderId="1" xfId="0" applyFont="1" applyBorder="1" applyAlignment="1">
      <alignment horizontal="center"/>
    </xf>
    <xf numFmtId="0" fontId="12" fillId="0" borderId="66" xfId="0" applyFont="1" applyBorder="1" applyAlignment="1">
      <alignment horizontal="center"/>
    </xf>
    <xf numFmtId="0" fontId="12" fillId="0" borderId="62" xfId="0" applyFont="1" applyBorder="1" applyAlignment="1">
      <alignment horizontal="center" vertical="center"/>
    </xf>
    <xf numFmtId="0" fontId="12" fillId="0" borderId="66" xfId="0" applyFont="1" applyBorder="1" applyAlignment="1">
      <alignment horizontal="center" vertical="center"/>
    </xf>
    <xf numFmtId="166" fontId="11" fillId="0" borderId="63" xfId="0" applyNumberFormat="1" applyFont="1" applyBorder="1" applyAlignment="1">
      <alignment horizontal="left" indent="2"/>
    </xf>
    <xf numFmtId="166" fontId="11" fillId="0" borderId="64" xfId="0" applyNumberFormat="1" applyFont="1" applyBorder="1" applyAlignment="1">
      <alignment horizontal="left" indent="2"/>
    </xf>
    <xf numFmtId="0" fontId="16" fillId="0" borderId="0" xfId="0" applyNumberFormat="1" applyFont="1" applyFill="1" applyBorder="1" applyAlignment="1" applyProtection="1">
      <alignment horizontal="left" vertical="center" indent="4"/>
    </xf>
    <xf numFmtId="4" fontId="12" fillId="0" borderId="18" xfId="0" applyNumberFormat="1" applyFont="1" applyFill="1" applyBorder="1" applyAlignment="1" applyProtection="1">
      <alignment horizontal="center" vertical="center" shrinkToFit="1"/>
    </xf>
    <xf numFmtId="4" fontId="12" fillId="0" borderId="19" xfId="0" applyNumberFormat="1" applyFont="1" applyFill="1" applyBorder="1" applyAlignment="1" applyProtection="1">
      <alignment horizontal="center" vertical="center" shrinkToFit="1"/>
    </xf>
    <xf numFmtId="0" fontId="12" fillId="0" borderId="21" xfId="0" applyNumberFormat="1" applyFont="1" applyFill="1" applyBorder="1" applyAlignment="1" applyProtection="1">
      <alignment horizontal="center" vertical="center" shrinkToFit="1"/>
    </xf>
    <xf numFmtId="0" fontId="12" fillId="0" borderId="22" xfId="0" applyNumberFormat="1" applyFont="1" applyFill="1" applyBorder="1" applyAlignment="1" applyProtection="1">
      <alignment horizontal="center" vertical="center" shrinkToFit="1"/>
    </xf>
    <xf numFmtId="4" fontId="13" fillId="0" borderId="24" xfId="0" applyNumberFormat="1" applyFont="1" applyFill="1" applyBorder="1" applyAlignment="1" applyProtection="1">
      <alignment horizontal="center" vertical="center" shrinkToFit="1"/>
    </xf>
    <xf numFmtId="4" fontId="13" fillId="0" borderId="25" xfId="0" applyNumberFormat="1" applyFont="1" applyFill="1" applyBorder="1" applyAlignment="1" applyProtection="1">
      <alignment horizontal="center" vertical="center" shrinkToFit="1"/>
    </xf>
    <xf numFmtId="4" fontId="12" fillId="0" borderId="20" xfId="0" applyNumberFormat="1" applyFont="1" applyFill="1" applyBorder="1" applyAlignment="1" applyProtection="1">
      <alignment horizontal="center" vertical="center" shrinkToFit="1"/>
    </xf>
    <xf numFmtId="0" fontId="12" fillId="0" borderId="23" xfId="0" applyNumberFormat="1" applyFont="1" applyFill="1" applyBorder="1" applyAlignment="1" applyProtection="1">
      <alignment horizontal="center" vertical="center" shrinkToFit="1"/>
    </xf>
    <xf numFmtId="4" fontId="13" fillId="0" borderId="26" xfId="0" applyNumberFormat="1" applyFont="1" applyFill="1" applyBorder="1" applyAlignment="1" applyProtection="1">
      <alignment horizontal="center" vertical="center" shrinkToFit="1"/>
    </xf>
    <xf numFmtId="0" fontId="12" fillId="0" borderId="99"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2" fillId="0" borderId="20" xfId="0" applyNumberFormat="1" applyFont="1" applyFill="1" applyBorder="1" applyAlignment="1" applyProtection="1">
      <alignment horizontal="center" vertical="center" wrapText="1"/>
    </xf>
    <xf numFmtId="4" fontId="12" fillId="0" borderId="22" xfId="0" applyNumberFormat="1" applyFont="1" applyFill="1" applyBorder="1" applyAlignment="1" applyProtection="1">
      <alignment horizontal="center" vertical="center" shrinkToFit="1"/>
    </xf>
    <xf numFmtId="4" fontId="12" fillId="0" borderId="23" xfId="0" applyNumberFormat="1" applyFont="1" applyFill="1" applyBorder="1" applyAlignment="1" applyProtection="1">
      <alignment horizontal="center" vertical="center" shrinkToFit="1"/>
    </xf>
    <xf numFmtId="0" fontId="10" fillId="0" borderId="25" xfId="0" applyNumberFormat="1" applyFont="1" applyFill="1" applyBorder="1" applyAlignment="1" applyProtection="1">
      <alignment horizontal="center" vertical="center"/>
    </xf>
    <xf numFmtId="0" fontId="10" fillId="0" borderId="26" xfId="0" applyNumberFormat="1" applyFont="1" applyFill="1" applyBorder="1" applyAlignment="1" applyProtection="1">
      <alignment horizontal="center" vertical="center"/>
    </xf>
    <xf numFmtId="4" fontId="12" fillId="0" borderId="25" xfId="0" applyNumberFormat="1" applyFont="1" applyFill="1" applyBorder="1" applyAlignment="1" applyProtection="1">
      <alignment horizontal="center" vertical="center" shrinkToFit="1"/>
    </xf>
    <xf numFmtId="4" fontId="12" fillId="0" borderId="26" xfId="0" applyNumberFormat="1" applyFont="1" applyFill="1" applyBorder="1" applyAlignment="1" applyProtection="1">
      <alignment horizontal="center" vertical="center" shrinkToFit="1"/>
    </xf>
    <xf numFmtId="4" fontId="13" fillId="0" borderId="43" xfId="0" applyNumberFormat="1" applyFont="1" applyFill="1" applyBorder="1" applyAlignment="1" applyProtection="1">
      <alignment horizontal="center" vertical="center" shrinkToFit="1"/>
    </xf>
    <xf numFmtId="4" fontId="13" fillId="0" borderId="44" xfId="0" applyNumberFormat="1" applyFont="1" applyFill="1" applyBorder="1" applyAlignment="1" applyProtection="1">
      <alignment horizontal="center" vertical="center" shrinkToFit="1"/>
    </xf>
    <xf numFmtId="0" fontId="13" fillId="0" borderId="116"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3" fillId="0" borderId="51" xfId="0" applyNumberFormat="1" applyFont="1" applyFill="1" applyBorder="1" applyAlignment="1" applyProtection="1">
      <alignment horizontal="center" vertical="center"/>
    </xf>
    <xf numFmtId="0" fontId="13" fillId="0" borderId="18" xfId="0" applyNumberFormat="1" applyFont="1" applyFill="1" applyBorder="1" applyAlignment="1" applyProtection="1">
      <alignment horizontal="center" vertical="top" wrapText="1"/>
    </xf>
    <xf numFmtId="0" fontId="13" fillId="0" borderId="19" xfId="0" applyNumberFormat="1" applyFont="1" applyFill="1" applyBorder="1" applyAlignment="1" applyProtection="1">
      <alignment horizontal="center" vertical="top" wrapText="1"/>
    </xf>
    <xf numFmtId="0" fontId="12" fillId="0" borderId="19" xfId="0" applyNumberFormat="1" applyFont="1" applyFill="1" applyBorder="1" applyAlignment="1" applyProtection="1">
      <alignment horizontal="center" vertical="top" wrapText="1"/>
    </xf>
    <xf numFmtId="0" fontId="12" fillId="0" borderId="20" xfId="0" applyNumberFormat="1" applyFont="1" applyFill="1" applyBorder="1" applyAlignment="1" applyProtection="1">
      <alignment horizontal="center" vertical="top" wrapText="1"/>
    </xf>
    <xf numFmtId="0" fontId="10" fillId="0" borderId="24" xfId="0" applyNumberFormat="1" applyFont="1" applyFill="1" applyBorder="1" applyAlignment="1" applyProtection="1">
      <alignment horizontal="center" vertical="center"/>
    </xf>
    <xf numFmtId="4" fontId="12" fillId="0" borderId="24" xfId="0" applyNumberFormat="1" applyFont="1" applyFill="1" applyBorder="1" applyAlignment="1" applyProtection="1">
      <alignment horizontal="center" vertical="center" shrinkToFit="1"/>
    </xf>
    <xf numFmtId="4" fontId="13" fillId="0" borderId="42" xfId="0" applyNumberFormat="1" applyFont="1" applyFill="1" applyBorder="1" applyAlignment="1" applyProtection="1">
      <alignment horizontal="center" vertical="center" shrinkToFit="1"/>
    </xf>
    <xf numFmtId="0" fontId="16" fillId="0" borderId="0" xfId="0" applyNumberFormat="1" applyFont="1" applyFill="1" applyBorder="1" applyAlignment="1" applyProtection="1">
      <alignment horizontal="left" vertical="center" indent="5"/>
    </xf>
    <xf numFmtId="4" fontId="13" fillId="0" borderId="113" xfId="0" applyNumberFormat="1" applyFont="1" applyFill="1" applyBorder="1" applyAlignment="1" applyProtection="1">
      <alignment horizontal="center" vertical="center" shrinkToFit="1"/>
    </xf>
    <xf numFmtId="4" fontId="12" fillId="0" borderId="21" xfId="0" applyNumberFormat="1" applyFont="1" applyFill="1" applyBorder="1" applyAlignment="1" applyProtection="1">
      <alignment horizontal="center" vertical="center" shrinkToFit="1"/>
    </xf>
    <xf numFmtId="0" fontId="12" fillId="0" borderId="75" xfId="0" applyNumberFormat="1" applyFont="1" applyFill="1" applyBorder="1" applyAlignment="1" applyProtection="1">
      <alignment horizontal="center" vertical="top" wrapText="1"/>
    </xf>
    <xf numFmtId="0" fontId="12" fillId="0" borderId="33" xfId="0" applyNumberFormat="1" applyFont="1" applyFill="1" applyBorder="1" applyAlignment="1" applyProtection="1">
      <alignment horizontal="center" vertical="top" wrapText="1"/>
    </xf>
    <xf numFmtId="0" fontId="12" fillId="0" borderId="48" xfId="0" applyNumberFormat="1" applyFont="1" applyFill="1" applyBorder="1" applyAlignment="1" applyProtection="1">
      <alignment horizontal="center" vertical="top" wrapText="1"/>
    </xf>
    <xf numFmtId="0" fontId="10" fillId="0" borderId="71" xfId="0" applyNumberFormat="1" applyFont="1" applyFill="1" applyBorder="1" applyAlignment="1" applyProtection="1">
      <alignment horizontal="center" vertical="top"/>
    </xf>
    <xf numFmtId="0" fontId="10" fillId="0" borderId="30" xfId="0" applyNumberFormat="1" applyFont="1" applyFill="1" applyBorder="1" applyAlignment="1" applyProtection="1">
      <alignment horizontal="center" vertical="top"/>
    </xf>
    <xf numFmtId="0" fontId="10" fillId="0" borderId="46" xfId="0" applyNumberFormat="1" applyFont="1" applyFill="1" applyBorder="1" applyAlignment="1" applyProtection="1">
      <alignment horizontal="center" vertical="top"/>
    </xf>
    <xf numFmtId="0" fontId="12" fillId="0" borderId="32" xfId="0" applyNumberFormat="1" applyFont="1" applyFill="1" applyBorder="1" applyAlignment="1" applyProtection="1">
      <alignment horizontal="center" vertical="top" wrapText="1"/>
    </xf>
    <xf numFmtId="0" fontId="10" fillId="0" borderId="29" xfId="0" applyNumberFormat="1" applyFont="1" applyFill="1" applyBorder="1" applyAlignment="1" applyProtection="1">
      <alignment horizontal="center" vertical="top"/>
    </xf>
    <xf numFmtId="0" fontId="13" fillId="0" borderId="75" xfId="0" applyNumberFormat="1" applyFont="1" applyFill="1" applyBorder="1" applyAlignment="1" applyProtection="1">
      <alignment horizontal="center" vertical="top" wrapText="1"/>
    </xf>
    <xf numFmtId="0" fontId="13" fillId="0" borderId="33" xfId="0" applyNumberFormat="1" applyFont="1" applyFill="1" applyBorder="1" applyAlignment="1" applyProtection="1">
      <alignment horizontal="center" vertical="top" wrapText="1"/>
    </xf>
    <xf numFmtId="0" fontId="13" fillId="0" borderId="48" xfId="0" applyNumberFormat="1" applyFont="1" applyFill="1" applyBorder="1" applyAlignment="1" applyProtection="1">
      <alignment horizontal="center" vertical="top" wrapText="1"/>
    </xf>
    <xf numFmtId="0" fontId="12" fillId="0" borderId="18" xfId="0" applyNumberFormat="1" applyFont="1" applyFill="1" applyBorder="1" applyAlignment="1" applyProtection="1">
      <alignment horizontal="center" vertical="center" wrapText="1"/>
    </xf>
    <xf numFmtId="0" fontId="12" fillId="0" borderId="21" xfId="0" applyNumberFormat="1" applyFont="1" applyFill="1" applyBorder="1" applyAlignment="1" applyProtection="1">
      <alignment horizontal="center" vertical="center" wrapText="1"/>
    </xf>
    <xf numFmtId="0" fontId="12" fillId="0" borderId="22" xfId="0" applyNumberFormat="1" applyFont="1" applyFill="1" applyBorder="1" applyAlignment="1" applyProtection="1">
      <alignment horizontal="center" vertical="center" wrapText="1"/>
    </xf>
    <xf numFmtId="0" fontId="13" fillId="0" borderId="95" xfId="0" applyNumberFormat="1" applyFont="1" applyFill="1" applyBorder="1" applyAlignment="1" applyProtection="1">
      <alignment horizontal="center" vertical="center" wrapText="1"/>
    </xf>
    <xf numFmtId="0" fontId="13" fillId="0" borderId="97" xfId="0" applyNumberFormat="1" applyFont="1" applyFill="1" applyBorder="1" applyAlignment="1" applyProtection="1">
      <alignment horizontal="center" vertical="center" wrapText="1"/>
    </xf>
    <xf numFmtId="0" fontId="12" fillId="0" borderId="49" xfId="0" applyNumberFormat="1" applyFont="1" applyFill="1" applyBorder="1" applyAlignment="1" applyProtection="1">
      <alignment horizontal="center" vertical="center" wrapText="1"/>
    </xf>
    <xf numFmtId="0" fontId="12" fillId="0" borderId="50" xfId="0" applyNumberFormat="1" applyFont="1" applyFill="1" applyBorder="1" applyAlignment="1" applyProtection="1">
      <alignment horizontal="center" vertical="center" wrapText="1"/>
    </xf>
    <xf numFmtId="0" fontId="12" fillId="0" borderId="51" xfId="0" applyNumberFormat="1" applyFont="1" applyFill="1" applyBorder="1" applyAlignment="1" applyProtection="1">
      <alignment horizontal="center" vertical="center" wrapText="1"/>
    </xf>
    <xf numFmtId="4" fontId="13" fillId="0" borderId="114" xfId="0" applyNumberFormat="1" applyFont="1" applyFill="1" applyBorder="1" applyAlignment="1" applyProtection="1">
      <alignment horizontal="center" vertical="center" shrinkToFit="1"/>
    </xf>
    <xf numFmtId="4" fontId="13" fillId="0" borderId="16" xfId="0" applyNumberFormat="1" applyFont="1" applyFill="1" applyBorder="1" applyAlignment="1" applyProtection="1">
      <alignment horizontal="center" vertical="center" shrinkToFit="1"/>
    </xf>
    <xf numFmtId="4" fontId="13" fillId="0" borderId="115" xfId="0" applyNumberFormat="1" applyFont="1" applyFill="1" applyBorder="1" applyAlignment="1" applyProtection="1">
      <alignment horizontal="center" vertical="center" shrinkToFit="1"/>
    </xf>
    <xf numFmtId="0" fontId="13" fillId="0" borderId="42" xfId="0" applyNumberFormat="1" applyFont="1" applyFill="1" applyBorder="1" applyAlignment="1" applyProtection="1">
      <alignment horizontal="center" vertical="center"/>
    </xf>
    <xf numFmtId="0" fontId="13" fillId="0" borderId="43" xfId="0" applyNumberFormat="1" applyFont="1" applyFill="1" applyBorder="1" applyAlignment="1" applyProtection="1">
      <alignment horizontal="center" vertical="center"/>
    </xf>
    <xf numFmtId="0" fontId="13" fillId="0" borderId="44" xfId="0" applyNumberFormat="1" applyFont="1" applyFill="1" applyBorder="1" applyAlignment="1" applyProtection="1">
      <alignment horizontal="center" vertical="center"/>
    </xf>
    <xf numFmtId="4" fontId="12" fillId="0" borderId="35" xfId="0" applyNumberFormat="1" applyFont="1" applyFill="1" applyBorder="1" applyAlignment="1" applyProtection="1">
      <alignment horizontal="center" vertical="center" shrinkToFit="1"/>
    </xf>
    <xf numFmtId="4" fontId="12" fillId="0" borderId="96" xfId="0" applyNumberFormat="1" applyFont="1" applyFill="1" applyBorder="1" applyAlignment="1" applyProtection="1">
      <alignment horizontal="center" vertical="center" shrinkToFit="1"/>
    </xf>
    <xf numFmtId="4" fontId="12" fillId="0" borderId="34" xfId="0" applyNumberFormat="1" applyFont="1" applyFill="1" applyBorder="1" applyAlignment="1" applyProtection="1">
      <alignment horizontal="center" vertical="center" shrinkToFit="1"/>
    </xf>
    <xf numFmtId="0" fontId="13" fillId="0" borderId="99" xfId="0" applyNumberFormat="1" applyFont="1" applyFill="1" applyBorder="1" applyAlignment="1" applyProtection="1">
      <alignment horizontal="center" vertical="top" wrapText="1"/>
    </xf>
    <xf numFmtId="0" fontId="10" fillId="0" borderId="83" xfId="0" applyNumberFormat="1" applyFont="1" applyFill="1" applyBorder="1" applyAlignment="1" applyProtection="1">
      <alignment horizontal="center" vertical="center"/>
    </xf>
    <xf numFmtId="4" fontId="12" fillId="0" borderId="83" xfId="0" applyNumberFormat="1" applyFont="1" applyFill="1" applyBorder="1" applyAlignment="1" applyProtection="1">
      <alignment horizontal="center" vertical="center" shrinkToFit="1"/>
    </xf>
    <xf numFmtId="4" fontId="13" fillId="0" borderId="15" xfId="0" applyNumberFormat="1" applyFont="1" applyFill="1" applyBorder="1" applyAlignment="1" applyProtection="1">
      <alignment horizontal="center" vertical="center" shrinkToFit="1"/>
    </xf>
    <xf numFmtId="0" fontId="49" fillId="0" borderId="1" xfId="0" applyNumberFormat="1" applyFont="1" applyFill="1" applyBorder="1" applyAlignment="1" applyProtection="1">
      <alignment horizontal="center" vertical="center" wrapText="1"/>
    </xf>
    <xf numFmtId="0" fontId="49" fillId="0" borderId="7" xfId="0" applyNumberFormat="1" applyFont="1" applyFill="1" applyBorder="1" applyAlignment="1" applyProtection="1">
      <alignment horizontal="center" vertical="center" wrapText="1"/>
    </xf>
    <xf numFmtId="0" fontId="49" fillId="0" borderId="0" xfId="0" applyNumberFormat="1" applyFont="1" applyFill="1" applyBorder="1" applyAlignment="1" applyProtection="1">
      <alignment horizontal="center" vertical="center" wrapText="1"/>
    </xf>
    <xf numFmtId="0" fontId="49" fillId="0" borderId="11" xfId="0" applyNumberFormat="1" applyFont="1" applyFill="1" applyBorder="1" applyAlignment="1" applyProtection="1">
      <alignment horizontal="center" vertical="center" wrapText="1"/>
    </xf>
    <xf numFmtId="0" fontId="49" fillId="0" borderId="2" xfId="0" applyNumberFormat="1" applyFont="1" applyFill="1" applyBorder="1" applyAlignment="1" applyProtection="1">
      <alignment horizontal="center" vertical="center" wrapText="1"/>
    </xf>
    <xf numFmtId="0" fontId="49"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top" wrapText="1"/>
    </xf>
    <xf numFmtId="0" fontId="13" fillId="0" borderId="2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xf>
    <xf numFmtId="0" fontId="13" fillId="0" borderId="23" xfId="0" applyNumberFormat="1" applyFont="1" applyFill="1" applyBorder="1" applyAlignment="1" applyProtection="1">
      <alignment horizontal="center" vertical="center" wrapText="1"/>
    </xf>
    <xf numFmtId="0" fontId="12" fillId="0" borderId="116" xfId="0" applyNumberFormat="1" applyFont="1" applyFill="1" applyBorder="1" applyAlignment="1" applyProtection="1">
      <alignment horizontal="center" vertical="center" wrapText="1"/>
    </xf>
    <xf numFmtId="0" fontId="57" fillId="0" borderId="0" xfId="0" applyNumberFormat="1" applyFont="1" applyFill="1" applyBorder="1" applyAlignment="1" applyProtection="1">
      <alignment horizontal="center" vertical="top"/>
    </xf>
    <xf numFmtId="4" fontId="12" fillId="0" borderId="33" xfId="0" applyNumberFormat="1" applyFont="1" applyFill="1" applyBorder="1" applyAlignment="1" applyProtection="1">
      <alignment horizontal="center" vertical="center" shrinkToFit="1"/>
    </xf>
    <xf numFmtId="4" fontId="12" fillId="0" borderId="30" xfId="0" applyNumberFormat="1" applyFont="1" applyFill="1" applyBorder="1" applyAlignment="1" applyProtection="1">
      <alignment horizontal="center" vertical="center" shrinkToFit="1"/>
    </xf>
    <xf numFmtId="4" fontId="12" fillId="0" borderId="48" xfId="0" applyNumberFormat="1" applyFont="1" applyFill="1" applyBorder="1" applyAlignment="1" applyProtection="1">
      <alignment horizontal="center" vertical="center" shrinkToFit="1"/>
    </xf>
    <xf numFmtId="4" fontId="12" fillId="0" borderId="75" xfId="0" applyNumberFormat="1" applyFont="1" applyFill="1" applyBorder="1" applyAlignment="1" applyProtection="1">
      <alignment horizontal="center" vertical="center" shrinkToFit="1"/>
    </xf>
    <xf numFmtId="4" fontId="12" fillId="0" borderId="72" xfId="0" applyNumberFormat="1" applyFont="1" applyFill="1" applyBorder="1" applyAlignment="1" applyProtection="1">
      <alignment horizontal="center" vertical="center" shrinkToFit="1"/>
    </xf>
    <xf numFmtId="4" fontId="12" fillId="0" borderId="71" xfId="0" applyNumberFormat="1" applyFont="1" applyFill="1" applyBorder="1" applyAlignment="1" applyProtection="1">
      <alignment horizontal="center" vertical="center" shrinkToFit="1"/>
    </xf>
    <xf numFmtId="4" fontId="12" fillId="0" borderId="46" xfId="0" applyNumberFormat="1" applyFont="1" applyFill="1" applyBorder="1" applyAlignment="1" applyProtection="1">
      <alignment horizontal="center" vertical="center" shrinkToFit="1"/>
    </xf>
    <xf numFmtId="0" fontId="41" fillId="0" borderId="0" xfId="0" applyNumberFormat="1" applyFont="1" applyFill="1" applyBorder="1" applyAlignment="1" applyProtection="1">
      <alignment vertical="top" wrapText="1"/>
    </xf>
    <xf numFmtId="0" fontId="46" fillId="0" borderId="0" xfId="0" applyNumberFormat="1" applyFont="1" applyFill="1" applyBorder="1" applyAlignment="1" applyProtection="1">
      <alignment vertical="top" wrapText="1"/>
    </xf>
    <xf numFmtId="0" fontId="12" fillId="0" borderId="29" xfId="0" applyNumberFormat="1" applyFont="1" applyFill="1" applyBorder="1" applyAlignment="1" applyProtection="1">
      <alignment horizontal="center" vertical="center" wrapText="1"/>
    </xf>
    <xf numFmtId="0" fontId="12" fillId="0" borderId="30" xfId="0" applyNumberFormat="1" applyFont="1" applyFill="1" applyBorder="1" applyAlignment="1" applyProtection="1">
      <alignment horizontal="center" vertical="center" wrapText="1"/>
    </xf>
    <xf numFmtId="0" fontId="13" fillId="0" borderId="20" xfId="0" applyNumberFormat="1" applyFont="1" applyFill="1" applyBorder="1" applyAlignment="1" applyProtection="1">
      <alignment horizontal="center" vertical="center"/>
    </xf>
    <xf numFmtId="0" fontId="13" fillId="0" borderId="23" xfId="0" applyNumberFormat="1" applyFont="1" applyFill="1" applyBorder="1" applyAlignment="1" applyProtection="1">
      <alignment horizontal="center" vertical="center"/>
    </xf>
    <xf numFmtId="0" fontId="13" fillId="0" borderId="46" xfId="0" applyNumberFormat="1" applyFont="1" applyFill="1" applyBorder="1" applyAlignment="1" applyProtection="1">
      <alignment horizontal="center" vertical="center"/>
    </xf>
    <xf numFmtId="0" fontId="12" fillId="0" borderId="116" xfId="0" applyNumberFormat="1" applyFont="1" applyFill="1" applyBorder="1" applyAlignment="1" applyProtection="1">
      <alignment horizontal="center" vertical="top" wrapText="1"/>
    </xf>
    <xf numFmtId="0" fontId="52" fillId="0" borderId="50" xfId="0" applyNumberFormat="1" applyFont="1" applyFill="1" applyBorder="1" applyAlignment="1" applyProtection="1">
      <alignment horizontal="center" vertical="top"/>
    </xf>
    <xf numFmtId="0" fontId="52" fillId="0" borderId="51" xfId="0" applyNumberFormat="1" applyFont="1" applyFill="1" applyBorder="1" applyAlignment="1" applyProtection="1">
      <alignment horizontal="center" vertical="top"/>
    </xf>
    <xf numFmtId="0" fontId="10" fillId="0" borderId="35" xfId="0" applyNumberFormat="1" applyFont="1" applyFill="1" applyBorder="1" applyAlignment="1" applyProtection="1">
      <alignment horizontal="center" vertical="center" wrapText="1"/>
    </xf>
    <xf numFmtId="0" fontId="10" fillId="0" borderId="38" xfId="0" applyNumberFormat="1" applyFont="1" applyFill="1" applyBorder="1" applyAlignment="1" applyProtection="1">
      <alignment horizontal="center" vertical="center" wrapText="1"/>
    </xf>
    <xf numFmtId="0" fontId="10" fillId="0" borderId="36"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xf>
    <xf numFmtId="0" fontId="43" fillId="0" borderId="19" xfId="0" applyNumberFormat="1" applyFont="1" applyFill="1" applyBorder="1" applyAlignment="1" applyProtection="1">
      <alignment horizontal="center" vertical="center"/>
    </xf>
    <xf numFmtId="0" fontId="43" fillId="0" borderId="20" xfId="0" applyNumberFormat="1" applyFont="1" applyFill="1" applyBorder="1" applyAlignment="1" applyProtection="1">
      <alignment horizontal="center" vertical="center"/>
    </xf>
    <xf numFmtId="0" fontId="10" fillId="0" borderId="39" xfId="0" applyNumberFormat="1" applyFont="1" applyFill="1" applyBorder="1" applyAlignment="1" applyProtection="1">
      <alignment horizontal="center" vertical="center" wrapText="1"/>
    </xf>
    <xf numFmtId="0" fontId="43" fillId="0" borderId="40" xfId="0" applyNumberFormat="1" applyFont="1" applyFill="1" applyBorder="1" applyAlignment="1" applyProtection="1">
      <alignment horizontal="center" vertical="center" wrapText="1"/>
    </xf>
    <xf numFmtId="0" fontId="43" fillId="0" borderId="45" xfId="0" applyNumberFormat="1" applyFont="1" applyFill="1" applyBorder="1" applyAlignment="1" applyProtection="1">
      <alignment horizontal="center" vertical="center" wrapText="1"/>
    </xf>
    <xf numFmtId="0" fontId="10" fillId="0" borderId="34" xfId="0" applyNumberFormat="1" applyFont="1" applyFill="1" applyBorder="1" applyAlignment="1" applyProtection="1">
      <alignment horizontal="center" vertical="center" wrapText="1"/>
    </xf>
    <xf numFmtId="0" fontId="10" fillId="0" borderId="27" xfId="0" applyNumberFormat="1" applyFont="1" applyFill="1" applyBorder="1" applyAlignment="1" applyProtection="1">
      <alignment vertical="center"/>
    </xf>
    <xf numFmtId="0" fontId="10" fillId="0" borderId="31" xfId="0" applyNumberFormat="1" applyFont="1" applyFill="1" applyBorder="1" applyAlignment="1" applyProtection="1">
      <alignment vertical="center"/>
    </xf>
    <xf numFmtId="0" fontId="10" fillId="0" borderId="21" xfId="0" applyNumberFormat="1" applyFont="1" applyFill="1" applyBorder="1" applyAlignment="1" applyProtection="1">
      <alignment horizontal="center" vertical="center"/>
    </xf>
    <xf numFmtId="0" fontId="10" fillId="0" borderId="29" xfId="0" applyNumberFormat="1" applyFont="1" applyFill="1" applyBorder="1" applyAlignment="1" applyProtection="1">
      <alignment horizontal="center" vertical="center"/>
    </xf>
    <xf numFmtId="0" fontId="10" fillId="0" borderId="22" xfId="0" applyNumberFormat="1" applyFont="1" applyFill="1" applyBorder="1" applyAlignment="1" applyProtection="1">
      <alignment horizontal="center" vertical="center"/>
    </xf>
    <xf numFmtId="0" fontId="43" fillId="0" borderId="22" xfId="0" applyNumberFormat="1" applyFont="1" applyFill="1" applyBorder="1" applyAlignment="1" applyProtection="1">
      <alignment horizontal="center" vertical="center"/>
    </xf>
    <xf numFmtId="0" fontId="43" fillId="0" borderId="23"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top" wrapText="1"/>
    </xf>
    <xf numFmtId="0" fontId="12" fillId="0" borderId="18" xfId="0" applyNumberFormat="1" applyFont="1" applyFill="1" applyBorder="1" applyAlignment="1" applyProtection="1">
      <alignment horizontal="center" vertical="top" wrapText="1"/>
    </xf>
    <xf numFmtId="0" fontId="12" fillId="0" borderId="21" xfId="0" applyNumberFormat="1" applyFont="1" applyFill="1" applyBorder="1" applyAlignment="1" applyProtection="1">
      <alignment horizontal="center" vertical="top" wrapText="1"/>
    </xf>
    <xf numFmtId="0" fontId="12" fillId="0" borderId="19" xfId="0" applyNumberFormat="1" applyFont="1" applyFill="1" applyBorder="1" applyAlignment="1" applyProtection="1">
      <alignment horizontal="left" vertical="top" wrapText="1"/>
    </xf>
    <xf numFmtId="0" fontId="12" fillId="0" borderId="22" xfId="0" applyNumberFormat="1" applyFont="1" applyFill="1" applyBorder="1" applyAlignment="1" applyProtection="1">
      <alignment horizontal="left" vertical="top" wrapText="1"/>
    </xf>
    <xf numFmtId="0" fontId="13" fillId="0" borderId="109"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center" vertical="center"/>
    </xf>
    <xf numFmtId="0" fontId="13" fillId="0" borderId="108" xfId="0" applyNumberFormat="1" applyFont="1" applyFill="1" applyBorder="1" applyAlignment="1" applyProtection="1">
      <alignment horizontal="center" vertical="center"/>
    </xf>
    <xf numFmtId="0" fontId="13" fillId="0" borderId="76" xfId="0" applyNumberFormat="1" applyFont="1" applyFill="1" applyBorder="1" applyAlignment="1" applyProtection="1">
      <alignment horizontal="center" vertical="center"/>
    </xf>
    <xf numFmtId="0" fontId="12" fillId="0" borderId="17" xfId="0" applyNumberFormat="1" applyFont="1" applyFill="1" applyBorder="1" applyAlignment="1" applyProtection="1">
      <alignment horizontal="left" vertical="top" wrapText="1"/>
    </xf>
    <xf numFmtId="0" fontId="12" fillId="0" borderId="9" xfId="0" applyNumberFormat="1" applyFont="1" applyFill="1" applyBorder="1" applyAlignment="1" applyProtection="1">
      <alignment horizontal="left" vertical="top" wrapText="1"/>
    </xf>
    <xf numFmtId="0" fontId="10" fillId="0" borderId="25" xfId="0" applyNumberFormat="1" applyFont="1" applyFill="1" applyBorder="1" applyAlignment="1" applyProtection="1">
      <alignment horizontal="center" vertical="top"/>
    </xf>
    <xf numFmtId="0" fontId="10" fillId="0" borderId="26" xfId="0" applyNumberFormat="1" applyFont="1" applyFill="1" applyBorder="1" applyAlignment="1" applyProtection="1">
      <alignment horizontal="center" vertical="top"/>
    </xf>
    <xf numFmtId="0" fontId="10" fillId="0" borderId="72" xfId="0" applyNumberFormat="1" applyFont="1" applyFill="1" applyBorder="1" applyAlignment="1" applyProtection="1">
      <alignment horizontal="center" vertical="top" wrapText="1"/>
    </xf>
    <xf numFmtId="0" fontId="10" fillId="0" borderId="22" xfId="0" applyNumberFormat="1" applyFont="1" applyFill="1" applyBorder="1" applyAlignment="1" applyProtection="1">
      <alignment horizontal="center" vertical="top" wrapText="1"/>
    </xf>
    <xf numFmtId="0" fontId="10" fillId="0" borderId="83" xfId="0" applyNumberFormat="1" applyFont="1" applyFill="1" applyBorder="1" applyAlignment="1" applyProtection="1">
      <alignment horizontal="center" vertical="top"/>
    </xf>
    <xf numFmtId="0" fontId="12" fillId="0" borderId="15" xfId="0" applyNumberFormat="1" applyFont="1" applyFill="1" applyBorder="1" applyAlignment="1" applyProtection="1">
      <alignment horizontal="center" vertical="center"/>
    </xf>
    <xf numFmtId="0" fontId="12" fillId="0" borderId="16" xfId="0" applyNumberFormat="1" applyFont="1" applyFill="1" applyBorder="1" applyAlignment="1" applyProtection="1">
      <alignment horizontal="center" vertical="center"/>
    </xf>
    <xf numFmtId="0" fontId="13" fillId="0" borderId="96" xfId="0" applyNumberFormat="1" applyFont="1" applyFill="1" applyBorder="1" applyAlignment="1" applyProtection="1">
      <alignment horizontal="center" vertical="top" wrapText="1"/>
    </xf>
    <xf numFmtId="0" fontId="13" fillId="0" borderId="34" xfId="0" applyNumberFormat="1" applyFont="1" applyFill="1" applyBorder="1" applyAlignment="1" applyProtection="1">
      <alignment horizontal="center" vertical="top" wrapText="1"/>
    </xf>
    <xf numFmtId="0" fontId="10" fillId="0" borderId="23" xfId="0" applyNumberFormat="1" applyFont="1" applyFill="1" applyBorder="1" applyAlignment="1" applyProtection="1">
      <alignment horizontal="center" vertical="top" wrapText="1"/>
    </xf>
    <xf numFmtId="4" fontId="12" fillId="0" borderId="16" xfId="0" applyNumberFormat="1" applyFont="1" applyFill="1" applyBorder="1" applyAlignment="1" applyProtection="1">
      <alignment horizontal="center" vertical="center"/>
    </xf>
    <xf numFmtId="4" fontId="12" fillId="0" borderId="115" xfId="0" applyNumberFormat="1" applyFont="1" applyFill="1" applyBorder="1" applyAlignment="1" applyProtection="1">
      <alignment horizontal="center" vertical="center"/>
    </xf>
    <xf numFmtId="0" fontId="12" fillId="0" borderId="96" xfId="0" applyNumberFormat="1" applyFont="1" applyFill="1" applyBorder="1" applyAlignment="1" applyProtection="1">
      <alignment horizontal="center" vertical="top" wrapText="1"/>
    </xf>
    <xf numFmtId="0" fontId="12" fillId="0" borderId="34" xfId="0" applyNumberFormat="1" applyFont="1" applyFill="1" applyBorder="1" applyAlignment="1" applyProtection="1">
      <alignment horizontal="center" vertical="top" wrapText="1"/>
    </xf>
    <xf numFmtId="0" fontId="16" fillId="0" borderId="0" xfId="0" applyNumberFormat="1" applyFont="1" applyFill="1" applyBorder="1" applyAlignment="1" applyProtection="1">
      <alignment horizontal="left" vertical="center" wrapText="1" indent="4"/>
    </xf>
    <xf numFmtId="0" fontId="55" fillId="0" borderId="10" xfId="0" applyNumberFormat="1" applyFont="1" applyFill="1" applyBorder="1" applyAlignment="1" applyProtection="1">
      <alignment horizontal="left" vertical="top" wrapText="1"/>
    </xf>
    <xf numFmtId="0" fontId="55" fillId="0" borderId="0" xfId="0" applyNumberFormat="1" applyFont="1" applyFill="1" applyBorder="1" applyAlignment="1" applyProtection="1">
      <alignment horizontal="left" vertical="top" wrapText="1"/>
    </xf>
    <xf numFmtId="0" fontId="54" fillId="0" borderId="10" xfId="0" applyNumberFormat="1" applyFont="1" applyFill="1" applyBorder="1" applyAlignment="1" applyProtection="1">
      <alignment horizontal="left" vertical="top" wrapText="1"/>
    </xf>
    <xf numFmtId="0" fontId="54" fillId="0" borderId="0"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center" vertical="top"/>
    </xf>
    <xf numFmtId="0" fontId="16" fillId="0" borderId="0" xfId="0" applyNumberFormat="1" applyFont="1" applyFill="1" applyBorder="1" applyAlignment="1" applyProtection="1">
      <alignment horizontal="left" vertical="center" indent="3"/>
    </xf>
    <xf numFmtId="0" fontId="13" fillId="0" borderId="116" xfId="0" applyNumberFormat="1" applyFont="1" applyFill="1" applyBorder="1" applyAlignment="1" applyProtection="1">
      <alignment horizontal="center" vertical="top" wrapText="1"/>
    </xf>
    <xf numFmtId="0" fontId="53" fillId="0" borderId="50" xfId="0" applyNumberFormat="1" applyFont="1" applyFill="1" applyBorder="1" applyAlignment="1" applyProtection="1">
      <alignment horizontal="center" vertical="top"/>
    </xf>
    <xf numFmtId="0" fontId="53" fillId="0" borderId="51" xfId="0" applyNumberFormat="1" applyFont="1" applyFill="1" applyBorder="1" applyAlignment="1" applyProtection="1">
      <alignment horizontal="center" vertical="top"/>
    </xf>
    <xf numFmtId="0" fontId="13" fillId="0" borderId="4" xfId="0" applyNumberFormat="1" applyFont="1" applyFill="1" applyBorder="1" applyAlignment="1" applyProtection="1">
      <alignment horizontal="center" vertical="center" wrapText="1"/>
    </xf>
    <xf numFmtId="0" fontId="13" fillId="0" borderId="112"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2" fillId="0" borderId="112"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0" fillId="0" borderId="95" xfId="0" applyNumberFormat="1" applyFont="1" applyFill="1" applyBorder="1" applyAlignment="1" applyProtection="1">
      <alignment horizontal="center" vertical="center" wrapText="1"/>
    </xf>
    <xf numFmtId="0" fontId="10" fillId="0" borderId="98" xfId="0" applyNumberFormat="1" applyFont="1" applyFill="1" applyBorder="1" applyAlignment="1" applyProtection="1">
      <alignment horizontal="center" vertical="top"/>
    </xf>
    <xf numFmtId="0" fontId="10" fillId="0" borderId="28" xfId="0" applyNumberFormat="1" applyFont="1" applyFill="1" applyBorder="1" applyAlignment="1" applyProtection="1">
      <alignment horizontal="center" vertical="top"/>
    </xf>
    <xf numFmtId="4" fontId="12" fillId="0" borderId="95" xfId="0" applyNumberFormat="1" applyFont="1" applyFill="1" applyBorder="1" applyAlignment="1" applyProtection="1">
      <alignment horizontal="center" vertical="center" shrinkToFit="1"/>
    </xf>
    <xf numFmtId="4" fontId="12" fillId="0" borderId="98" xfId="0" applyNumberFormat="1" applyFont="1" applyFill="1" applyBorder="1" applyAlignment="1" applyProtection="1">
      <alignment horizontal="center" vertical="center" shrinkToFit="1"/>
    </xf>
    <xf numFmtId="4" fontId="12" fillId="0" borderId="28" xfId="0" applyNumberFormat="1" applyFont="1" applyFill="1" applyBorder="1" applyAlignment="1" applyProtection="1">
      <alignment horizontal="center" vertical="center" shrinkToFit="1"/>
    </xf>
    <xf numFmtId="4" fontId="13" fillId="0" borderId="52" xfId="0" applyNumberFormat="1" applyFont="1" applyFill="1" applyBorder="1" applyAlignment="1" applyProtection="1">
      <alignment horizontal="center" vertical="center" shrinkToFit="1"/>
    </xf>
    <xf numFmtId="4" fontId="13" fillId="0" borderId="5" xfId="0" applyNumberFormat="1" applyFont="1" applyFill="1" applyBorder="1" applyAlignment="1" applyProtection="1">
      <alignment horizontal="center" vertical="center" shrinkToFit="1"/>
    </xf>
    <xf numFmtId="0" fontId="10" fillId="0" borderId="98" xfId="0" applyNumberFormat="1" applyFont="1" applyFill="1" applyBorder="1" applyAlignment="1" applyProtection="1">
      <alignment horizontal="center" vertical="top" wrapText="1"/>
    </xf>
    <xf numFmtId="0" fontId="10" fillId="0" borderId="28" xfId="0" applyNumberFormat="1" applyFont="1" applyFill="1" applyBorder="1" applyAlignment="1" applyProtection="1">
      <alignment horizontal="center" vertical="top" wrapText="1"/>
    </xf>
    <xf numFmtId="0" fontId="12" fillId="0" borderId="98" xfId="0" applyNumberFormat="1" applyFont="1" applyFill="1" applyBorder="1" applyAlignment="1" applyProtection="1">
      <alignment horizontal="left" vertical="center" wrapText="1"/>
    </xf>
    <xf numFmtId="0" fontId="12" fillId="0" borderId="28" xfId="0" applyNumberFormat="1" applyFont="1" applyFill="1" applyBorder="1" applyAlignment="1" applyProtection="1">
      <alignment horizontal="left" vertical="center" wrapText="1"/>
    </xf>
    <xf numFmtId="0" fontId="13" fillId="0" borderId="43" xfId="0" applyNumberFormat="1" applyFont="1" applyFill="1" applyBorder="1" applyAlignment="1" applyProtection="1">
      <alignment horizontal="right" vertical="center" wrapText="1"/>
    </xf>
    <xf numFmtId="0" fontId="52" fillId="0" borderId="52" xfId="0" applyNumberFormat="1" applyFont="1" applyFill="1" applyBorder="1" applyAlignment="1" applyProtection="1">
      <alignment horizontal="right" vertical="center" wrapText="1"/>
    </xf>
    <xf numFmtId="0" fontId="16" fillId="0" borderId="0" xfId="0" applyNumberFormat="1" applyFont="1" applyFill="1" applyBorder="1" applyAlignment="1" applyProtection="1">
      <alignment horizontal="left" vertical="center" wrapText="1" indent="5"/>
    </xf>
    <xf numFmtId="0" fontId="10" fillId="0" borderId="16" xfId="0" applyNumberFormat="1" applyFont="1" applyFill="1" applyBorder="1" applyAlignment="1" applyProtection="1">
      <alignment horizontal="center" vertical="top"/>
    </xf>
    <xf numFmtId="0" fontId="10" fillId="0" borderId="115" xfId="0" applyNumberFormat="1" applyFont="1" applyFill="1" applyBorder="1" applyAlignment="1" applyProtection="1">
      <alignment horizontal="center" vertical="top"/>
    </xf>
    <xf numFmtId="0" fontId="10" fillId="0" borderId="16" xfId="0" applyNumberFormat="1" applyFont="1" applyFill="1" applyBorder="1" applyAlignment="1" applyProtection="1">
      <alignment horizontal="center" vertical="top" wrapText="1"/>
    </xf>
    <xf numFmtId="0" fontId="10" fillId="0" borderId="115" xfId="0" applyNumberFormat="1" applyFont="1" applyFill="1" applyBorder="1" applyAlignment="1" applyProtection="1">
      <alignment horizontal="center" vertical="top" wrapText="1"/>
    </xf>
    <xf numFmtId="0" fontId="12" fillId="0" borderId="3" xfId="0" applyNumberFormat="1" applyFont="1" applyFill="1" applyBorder="1" applyAlignment="1" applyProtection="1">
      <alignment horizontal="center" vertical="center" wrapText="1"/>
    </xf>
    <xf numFmtId="0" fontId="43" fillId="0" borderId="98" xfId="0" applyNumberFormat="1" applyFont="1" applyFill="1" applyBorder="1" applyAlignment="1" applyProtection="1">
      <alignment horizontal="center" vertical="top"/>
    </xf>
    <xf numFmtId="0" fontId="10" fillId="0" borderId="25" xfId="0" applyNumberFormat="1" applyFont="1" applyFill="1" applyBorder="1" applyAlignment="1" applyProtection="1">
      <alignment horizontal="center" vertical="top" wrapText="1"/>
    </xf>
    <xf numFmtId="0" fontId="10" fillId="0" borderId="26" xfId="0" applyNumberFormat="1" applyFont="1" applyFill="1" applyBorder="1" applyAlignment="1" applyProtection="1">
      <alignment horizontal="center" vertical="top" wrapText="1"/>
    </xf>
    <xf numFmtId="0" fontId="12" fillId="0" borderId="33" xfId="0" applyNumberFormat="1" applyFont="1" applyFill="1" applyBorder="1" applyAlignment="1" applyProtection="1">
      <alignment horizontal="left" vertical="center" wrapText="1"/>
    </xf>
    <xf numFmtId="0" fontId="52" fillId="0" borderId="108" xfId="0" applyNumberFormat="1" applyFont="1" applyFill="1" applyBorder="1" applyAlignment="1" applyProtection="1">
      <alignment horizontal="left" vertical="center"/>
    </xf>
    <xf numFmtId="0" fontId="13" fillId="0" borderId="19" xfId="0" applyNumberFormat="1" applyFont="1" applyFill="1" applyBorder="1" applyAlignment="1" applyProtection="1">
      <alignment horizontal="center" vertical="center"/>
    </xf>
    <xf numFmtId="0" fontId="53" fillId="0" borderId="95" xfId="0" applyNumberFormat="1" applyFont="1" applyFill="1" applyBorder="1" applyAlignment="1" applyProtection="1">
      <alignment horizontal="center" vertical="center"/>
    </xf>
    <xf numFmtId="0" fontId="53" fillId="0" borderId="22" xfId="0" applyNumberFormat="1" applyFont="1" applyFill="1" applyBorder="1" applyAlignment="1" applyProtection="1">
      <alignment horizontal="center" vertical="center"/>
    </xf>
    <xf numFmtId="0" fontId="53" fillId="0" borderId="97" xfId="0" applyNumberFormat="1" applyFont="1" applyFill="1" applyBorder="1" applyAlignment="1" applyProtection="1">
      <alignment horizontal="center" vertical="center"/>
    </xf>
    <xf numFmtId="0" fontId="10" fillId="0" borderId="22" xfId="0" applyNumberFormat="1" applyFont="1" applyFill="1" applyBorder="1" applyAlignment="1" applyProtection="1">
      <alignment horizontal="center" vertical="center" wrapText="1"/>
    </xf>
    <xf numFmtId="0" fontId="10" fillId="0" borderId="23" xfId="0" applyNumberFormat="1" applyFont="1" applyFill="1" applyBorder="1" applyAlignment="1" applyProtection="1">
      <alignment horizontal="center" vertical="center" wrapText="1"/>
    </xf>
    <xf numFmtId="0" fontId="13" fillId="0" borderId="22" xfId="0" applyNumberFormat="1" applyFont="1" applyFill="1" applyBorder="1" applyAlignment="1" applyProtection="1">
      <alignment horizontal="center" vertical="center"/>
    </xf>
    <xf numFmtId="0" fontId="13" fillId="0" borderId="42" xfId="0" applyNumberFormat="1" applyFont="1" applyFill="1" applyBorder="1" applyAlignment="1" applyProtection="1">
      <alignment horizontal="center" vertical="center" wrapText="1"/>
    </xf>
    <xf numFmtId="0" fontId="13" fillId="0" borderId="43" xfId="0" applyNumberFormat="1" applyFont="1" applyFill="1" applyBorder="1" applyAlignment="1" applyProtection="1">
      <alignment horizontal="center" vertical="center" wrapText="1"/>
    </xf>
    <xf numFmtId="0" fontId="13" fillId="0" borderId="44" xfId="0" applyNumberFormat="1" applyFont="1" applyFill="1" applyBorder="1" applyAlignment="1" applyProtection="1">
      <alignment horizontal="center" vertical="center" wrapText="1"/>
    </xf>
    <xf numFmtId="0" fontId="12" fillId="0" borderId="42" xfId="0" applyNumberFormat="1" applyFont="1" applyFill="1" applyBorder="1" applyAlignment="1" applyProtection="1">
      <alignment horizontal="center" vertical="center" wrapText="1"/>
    </xf>
    <xf numFmtId="0" fontId="12" fillId="0" borderId="43" xfId="0" applyNumberFormat="1" applyFont="1" applyFill="1" applyBorder="1" applyAlignment="1" applyProtection="1">
      <alignment horizontal="center" vertical="center" wrapText="1"/>
    </xf>
    <xf numFmtId="0" fontId="12" fillId="0" borderId="44" xfId="0" applyNumberFormat="1" applyFont="1" applyFill="1" applyBorder="1" applyAlignment="1" applyProtection="1">
      <alignment horizontal="center" vertical="center" wrapText="1"/>
    </xf>
    <xf numFmtId="0" fontId="12" fillId="0" borderId="30" xfId="0" applyNumberFormat="1" applyFont="1" applyFill="1" applyBorder="1" applyAlignment="1" applyProtection="1">
      <alignment horizontal="left" vertical="center" wrapText="1"/>
    </xf>
    <xf numFmtId="0" fontId="52" fillId="0" borderId="107" xfId="0" applyNumberFormat="1" applyFont="1" applyFill="1" applyBorder="1" applyAlignment="1" applyProtection="1">
      <alignment horizontal="left" vertical="center"/>
    </xf>
    <xf numFmtId="0" fontId="12" fillId="0" borderId="19" xfId="0" applyNumberFormat="1" applyFont="1" applyFill="1" applyBorder="1" applyAlignment="1" applyProtection="1">
      <alignment horizontal="left" vertical="center" wrapText="1"/>
    </xf>
    <xf numFmtId="0" fontId="52" fillId="0" borderId="95" xfId="0" applyNumberFormat="1" applyFont="1" applyFill="1" applyBorder="1" applyAlignment="1" applyProtection="1">
      <alignment horizontal="left" vertical="center"/>
    </xf>
    <xf numFmtId="0" fontId="12" fillId="0" borderId="22" xfId="0" applyNumberFormat="1" applyFont="1" applyFill="1" applyBorder="1" applyAlignment="1" applyProtection="1">
      <alignment horizontal="left" vertical="center" wrapText="1"/>
    </xf>
    <xf numFmtId="0" fontId="52" fillId="0" borderId="97" xfId="0" applyNumberFormat="1" applyFont="1" applyFill="1" applyBorder="1" applyAlignment="1" applyProtection="1">
      <alignment horizontal="left" vertical="center"/>
    </xf>
    <xf numFmtId="0" fontId="13" fillId="0" borderId="16" xfId="0" applyNumberFormat="1" applyFont="1" applyFill="1" applyBorder="1" applyAlignment="1" applyProtection="1">
      <alignment horizontal="right" vertical="center"/>
    </xf>
    <xf numFmtId="0" fontId="13" fillId="0" borderId="17" xfId="0" applyNumberFormat="1" applyFont="1" applyFill="1" applyBorder="1" applyAlignment="1" applyProtection="1">
      <alignment horizontal="right" vertical="center"/>
    </xf>
    <xf numFmtId="0" fontId="12" fillId="0" borderId="113" xfId="0" applyNumberFormat="1" applyFont="1" applyFill="1" applyBorder="1" applyAlignment="1" applyProtection="1">
      <alignment horizontal="center" vertical="center" wrapText="1"/>
    </xf>
    <xf numFmtId="4" fontId="13" fillId="0" borderId="112" xfId="0" applyNumberFormat="1" applyFont="1" applyFill="1" applyBorder="1" applyAlignment="1" applyProtection="1">
      <alignment horizontal="center" vertical="center" shrinkToFit="1"/>
    </xf>
    <xf numFmtId="0" fontId="12" fillId="0" borderId="22" xfId="0" applyNumberFormat="1" applyFont="1" applyFill="1" applyBorder="1" applyAlignment="1" applyProtection="1">
      <alignment vertical="center" wrapText="1"/>
    </xf>
    <xf numFmtId="0" fontId="12" fillId="0" borderId="97" xfId="0" applyNumberFormat="1" applyFont="1" applyFill="1" applyBorder="1" applyAlignment="1" applyProtection="1">
      <alignment vertical="center" wrapText="1"/>
    </xf>
    <xf numFmtId="0" fontId="12" fillId="0" borderId="25" xfId="0" applyNumberFormat="1" applyFont="1" applyFill="1" applyBorder="1" applyAlignment="1" applyProtection="1">
      <alignment vertical="center" wrapText="1"/>
    </xf>
    <xf numFmtId="0" fontId="12" fillId="0" borderId="98" xfId="0" applyNumberFormat="1" applyFont="1" applyFill="1" applyBorder="1" applyAlignment="1" applyProtection="1">
      <alignment vertical="center" wrapText="1"/>
    </xf>
    <xf numFmtId="0" fontId="10" fillId="0" borderId="30" xfId="0" applyNumberFormat="1" applyFont="1" applyFill="1" applyBorder="1" applyAlignment="1" applyProtection="1">
      <alignment horizontal="center" vertical="center"/>
    </xf>
    <xf numFmtId="0" fontId="43" fillId="0" borderId="107" xfId="0" applyNumberFormat="1" applyFont="1" applyFill="1" applyBorder="1" applyAlignment="1" applyProtection="1">
      <alignment horizontal="center" vertical="center"/>
    </xf>
    <xf numFmtId="0" fontId="10" fillId="0" borderId="30" xfId="0" applyNumberFormat="1" applyFont="1" applyFill="1" applyBorder="1" applyAlignment="1" applyProtection="1">
      <alignment horizontal="center" vertical="center" wrapText="1"/>
    </xf>
    <xf numFmtId="0" fontId="43" fillId="0" borderId="107"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vertical="center" wrapText="1"/>
    </xf>
    <xf numFmtId="0" fontId="52" fillId="0" borderId="95" xfId="0" applyNumberFormat="1" applyFont="1" applyFill="1" applyBorder="1" applyAlignment="1" applyProtection="1">
      <alignment vertical="center" wrapText="1"/>
    </xf>
    <xf numFmtId="0" fontId="52" fillId="0" borderId="17" xfId="0" applyNumberFormat="1" applyFont="1" applyFill="1" applyBorder="1" applyAlignment="1" applyProtection="1">
      <alignment horizontal="right" vertical="center"/>
    </xf>
    <xf numFmtId="0" fontId="10" fillId="0" borderId="19" xfId="0" applyNumberFormat="1" applyFont="1" applyFill="1" applyBorder="1" applyAlignment="1" applyProtection="1">
      <alignment horizontal="center" vertical="center" wrapText="1"/>
    </xf>
    <xf numFmtId="0" fontId="10" fillId="0" borderId="20" xfId="0" applyNumberFormat="1" applyFont="1" applyFill="1" applyBorder="1" applyAlignment="1" applyProtection="1">
      <alignment horizontal="center" vertical="center" wrapText="1"/>
    </xf>
    <xf numFmtId="0" fontId="12" fillId="0" borderId="98" xfId="0" applyNumberFormat="1" applyFont="1" applyFill="1" applyBorder="1" applyAlignment="1" applyProtection="1">
      <alignment horizontal="center" vertical="center" wrapText="1"/>
    </xf>
    <xf numFmtId="0" fontId="12" fillId="0" borderId="28" xfId="0" applyNumberFormat="1" applyFont="1" applyFill="1" applyBorder="1" applyAlignment="1" applyProtection="1">
      <alignment horizontal="center" vertical="center" wrapText="1"/>
    </xf>
    <xf numFmtId="0" fontId="13" fillId="0" borderId="18" xfId="0" applyNumberFormat="1" applyFont="1" applyFill="1" applyBorder="1" applyAlignment="1" applyProtection="1">
      <alignment horizontal="center" vertical="center" wrapText="1"/>
    </xf>
    <xf numFmtId="0" fontId="13" fillId="0" borderId="19"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xf>
    <xf numFmtId="0" fontId="56" fillId="0" borderId="95" xfId="0" applyNumberFormat="1" applyFont="1" applyFill="1" applyBorder="1" applyAlignment="1" applyProtection="1">
      <alignment horizontal="center" vertical="center"/>
    </xf>
    <xf numFmtId="0" fontId="16" fillId="0" borderId="22" xfId="0" applyNumberFormat="1" applyFont="1" applyFill="1" applyBorder="1" applyAlignment="1" applyProtection="1">
      <alignment horizontal="center" vertical="center"/>
    </xf>
    <xf numFmtId="0" fontId="56" fillId="0" borderId="97" xfId="0" applyNumberFormat="1" applyFont="1" applyFill="1" applyBorder="1" applyAlignment="1" applyProtection="1">
      <alignment horizontal="center" vertical="center"/>
    </xf>
    <xf numFmtId="0" fontId="13" fillId="0" borderId="72" xfId="0" applyNumberFormat="1" applyFont="1" applyFill="1" applyBorder="1" applyAlignment="1" applyProtection="1">
      <alignment horizontal="center" vertical="center" wrapText="1"/>
    </xf>
    <xf numFmtId="0" fontId="13" fillId="0" borderId="22" xfId="0" applyNumberFormat="1" applyFont="1" applyFill="1" applyBorder="1" applyAlignment="1" applyProtection="1">
      <alignment horizontal="center" vertical="center" wrapText="1"/>
    </xf>
    <xf numFmtId="0" fontId="13" fillId="0" borderId="99" xfId="0" applyNumberFormat="1" applyFont="1" applyFill="1" applyBorder="1" applyAlignment="1" applyProtection="1">
      <alignment horizontal="center" vertical="top"/>
    </xf>
    <xf numFmtId="0" fontId="13" fillId="0" borderId="19" xfId="0" applyNumberFormat="1" applyFont="1" applyFill="1" applyBorder="1" applyAlignment="1" applyProtection="1">
      <alignment horizontal="center" vertical="top"/>
    </xf>
    <xf numFmtId="0" fontId="13" fillId="0" borderId="20" xfId="0" applyNumberFormat="1" applyFont="1" applyFill="1" applyBorder="1" applyAlignment="1" applyProtection="1">
      <alignment horizontal="center" vertical="top"/>
    </xf>
    <xf numFmtId="0" fontId="12" fillId="0" borderId="23" xfId="0" applyNumberFormat="1" applyFont="1" applyFill="1" applyBorder="1" applyAlignment="1" applyProtection="1">
      <alignment horizontal="center" vertical="center" wrapText="1"/>
    </xf>
    <xf numFmtId="0" fontId="13" fillId="0" borderId="30" xfId="0" applyNumberFormat="1" applyFont="1" applyFill="1" applyBorder="1" applyAlignment="1" applyProtection="1">
      <alignment horizontal="center" vertical="center"/>
    </xf>
    <xf numFmtId="0" fontId="13" fillId="0" borderId="95" xfId="0" applyNumberFormat="1" applyFont="1" applyFill="1" applyBorder="1" applyAlignment="1" applyProtection="1">
      <alignment horizontal="center" vertical="center"/>
    </xf>
    <xf numFmtId="0" fontId="13" fillId="0" borderId="97"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left" vertical="top" wrapText="1"/>
    </xf>
    <xf numFmtId="4" fontId="13" fillId="0" borderId="16" xfId="0" applyNumberFormat="1" applyFont="1" applyBorder="1" applyAlignment="1">
      <alignment horizontal="center" vertical="center" shrinkToFit="1"/>
    </xf>
    <xf numFmtId="0" fontId="13" fillId="0" borderId="16" xfId="0" applyFont="1" applyBorder="1" applyAlignment="1">
      <alignment horizontal="center" vertical="center" shrinkToFit="1"/>
    </xf>
    <xf numFmtId="0" fontId="12" fillId="0" borderId="30" xfId="0" applyNumberFormat="1" applyFont="1" applyFill="1" applyBorder="1" applyAlignment="1" applyProtection="1">
      <alignment horizontal="center" vertical="top" wrapText="1"/>
    </xf>
    <xf numFmtId="0" fontId="12" fillId="0" borderId="46" xfId="0" applyNumberFormat="1" applyFont="1" applyFill="1" applyBorder="1" applyAlignment="1" applyProtection="1">
      <alignment horizontal="center" vertical="top" wrapText="1"/>
    </xf>
    <xf numFmtId="0" fontId="13" fillId="0" borderId="30" xfId="0" applyFont="1" applyBorder="1" applyAlignment="1">
      <alignment horizontal="center" wrapText="1"/>
    </xf>
    <xf numFmtId="0" fontId="0" fillId="0" borderId="25" xfId="0" applyFont="1" applyBorder="1" applyAlignment="1">
      <alignment horizontal="center"/>
    </xf>
    <xf numFmtId="4" fontId="12" fillId="0" borderId="33" xfId="0" applyNumberFormat="1"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48" xfId="0" applyFont="1" applyBorder="1" applyAlignment="1">
      <alignment horizontal="center" vertical="center" shrinkToFit="1"/>
    </xf>
    <xf numFmtId="4" fontId="12" fillId="0" borderId="22" xfId="0" applyNumberFormat="1"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3" xfId="0" applyFont="1" applyBorder="1" applyAlignment="1">
      <alignment horizontal="center" vertical="center" shrinkToFit="1"/>
    </xf>
    <xf numFmtId="4" fontId="13" fillId="0" borderId="25" xfId="0" applyNumberFormat="1"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4" fontId="12" fillId="0" borderId="97" xfId="0" applyNumberFormat="1" applyFont="1" applyFill="1" applyBorder="1" applyAlignment="1" applyProtection="1">
      <alignment horizontal="center" vertical="center" shrinkToFit="1"/>
    </xf>
    <xf numFmtId="4" fontId="12" fillId="0" borderId="27" xfId="0" applyNumberFormat="1" applyFont="1" applyFill="1" applyBorder="1" applyAlignment="1" applyProtection="1">
      <alignment horizontal="center" vertical="center" shrinkToFit="1"/>
    </xf>
    <xf numFmtId="0" fontId="12" fillId="0" borderId="48" xfId="0" applyNumberFormat="1" applyFont="1" applyFill="1" applyBorder="1" applyAlignment="1" applyProtection="1">
      <alignment horizontal="left" vertical="center" wrapText="1"/>
    </xf>
    <xf numFmtId="0" fontId="10" fillId="0" borderId="99" xfId="0" applyNumberFormat="1" applyFont="1" applyFill="1" applyBorder="1" applyAlignment="1" applyProtection="1">
      <alignment horizontal="center" vertical="center" wrapText="1"/>
    </xf>
    <xf numFmtId="4" fontId="12" fillId="0" borderId="29" xfId="0" applyNumberFormat="1" applyFont="1" applyFill="1" applyBorder="1" applyAlignment="1" applyProtection="1">
      <alignment horizontal="center" vertical="center" shrinkToFit="1"/>
    </xf>
    <xf numFmtId="4" fontId="12" fillId="0" borderId="99" xfId="0" applyNumberFormat="1" applyFont="1" applyFill="1" applyBorder="1" applyAlignment="1" applyProtection="1">
      <alignment horizontal="center" vertical="center" shrinkToFit="1"/>
    </xf>
    <xf numFmtId="0" fontId="12" fillId="0" borderId="23" xfId="0" applyNumberFormat="1" applyFont="1" applyFill="1" applyBorder="1" applyAlignment="1" applyProtection="1">
      <alignment horizontal="left" vertical="center" wrapText="1"/>
    </xf>
    <xf numFmtId="0" fontId="13" fillId="0" borderId="30" xfId="0" applyNumberFormat="1" applyFont="1" applyFill="1" applyBorder="1" applyAlignment="1" applyProtection="1">
      <alignment horizontal="center" vertical="center" wrapText="1"/>
    </xf>
    <xf numFmtId="0" fontId="13" fillId="0" borderId="46" xfId="0" applyNumberFormat="1" applyFont="1" applyFill="1" applyBorder="1" applyAlignment="1" applyProtection="1">
      <alignment horizontal="center" vertical="center" wrapText="1"/>
    </xf>
    <xf numFmtId="0" fontId="10" fillId="0" borderId="98" xfId="0" applyNumberFormat="1" applyFont="1" applyFill="1" applyBorder="1" applyAlignment="1" applyProtection="1">
      <alignment horizontal="center" vertical="center"/>
    </xf>
    <xf numFmtId="0" fontId="10" fillId="0" borderId="28" xfId="0" applyNumberFormat="1" applyFont="1" applyFill="1" applyBorder="1" applyAlignment="1" applyProtection="1">
      <alignment horizontal="center" vertical="center"/>
    </xf>
    <xf numFmtId="0" fontId="13" fillId="0" borderId="52" xfId="0" applyNumberFormat="1" applyFont="1" applyFill="1" applyBorder="1" applyAlignment="1" applyProtection="1">
      <alignment horizontal="right" vertical="center"/>
    </xf>
    <xf numFmtId="0" fontId="13" fillId="0" borderId="5" xfId="0" applyNumberFormat="1" applyFont="1" applyFill="1" applyBorder="1" applyAlignment="1" applyProtection="1">
      <alignment horizontal="right" vertical="center"/>
    </xf>
    <xf numFmtId="0" fontId="12" fillId="0" borderId="20" xfId="0" applyNumberFormat="1" applyFont="1" applyFill="1" applyBorder="1" applyAlignment="1" applyProtection="1">
      <alignment horizontal="left" vertical="center" wrapText="1"/>
    </xf>
    <xf numFmtId="4" fontId="12" fillId="0" borderId="54" xfId="0" applyNumberFormat="1" applyFont="1" applyFill="1" applyBorder="1" applyAlignment="1" applyProtection="1">
      <alignment horizontal="center" vertical="center" shrinkToFit="1"/>
    </xf>
    <xf numFmtId="4" fontId="12" fillId="0" borderId="110" xfId="0" applyNumberFormat="1" applyFont="1" applyFill="1" applyBorder="1" applyAlignment="1" applyProtection="1">
      <alignment horizontal="center" vertical="center" shrinkToFit="1"/>
    </xf>
    <xf numFmtId="0" fontId="13" fillId="0" borderId="107" xfId="0" applyNumberFormat="1" applyFont="1" applyFill="1" applyBorder="1" applyAlignment="1" applyProtection="1">
      <alignment horizontal="center" vertical="center" wrapText="1"/>
    </xf>
    <xf numFmtId="0" fontId="12" fillId="0" borderId="108" xfId="0" applyNumberFormat="1" applyFont="1" applyFill="1" applyBorder="1" applyAlignment="1" applyProtection="1">
      <alignment horizontal="left" vertical="center" wrapText="1"/>
    </xf>
    <xf numFmtId="0" fontId="12" fillId="0" borderId="97" xfId="0" applyNumberFormat="1" applyFont="1" applyFill="1" applyBorder="1" applyAlignment="1" applyProtection="1">
      <alignment horizontal="left" vertical="center" wrapText="1"/>
    </xf>
    <xf numFmtId="0" fontId="12" fillId="0" borderId="25" xfId="0" applyNumberFormat="1" applyFont="1" applyFill="1" applyBorder="1" applyAlignment="1" applyProtection="1">
      <alignment horizontal="left" vertical="center" wrapText="1"/>
    </xf>
    <xf numFmtId="0" fontId="13" fillId="0" borderId="43" xfId="0" applyNumberFormat="1" applyFont="1" applyFill="1" applyBorder="1" applyAlignment="1" applyProtection="1">
      <alignment horizontal="right" vertical="center"/>
    </xf>
    <xf numFmtId="0" fontId="13" fillId="0" borderId="44" xfId="0" applyNumberFormat="1" applyFont="1" applyFill="1" applyBorder="1" applyAlignment="1" applyProtection="1">
      <alignment horizontal="right" vertical="center"/>
    </xf>
    <xf numFmtId="0" fontId="10" fillId="0" borderId="17"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13" fillId="0" borderId="52" xfId="0" applyNumberFormat="1" applyFont="1" applyFill="1" applyBorder="1" applyAlignment="1" applyProtection="1">
      <alignment horizontal="center" vertical="center" wrapText="1"/>
    </xf>
    <xf numFmtId="0" fontId="10" fillId="0" borderId="54" xfId="0" applyNumberFormat="1" applyFont="1" applyFill="1" applyBorder="1" applyAlignment="1" applyProtection="1">
      <alignment horizontal="center" vertical="center" wrapText="1"/>
    </xf>
    <xf numFmtId="0" fontId="10" fillId="0" borderId="110" xfId="0" applyNumberFormat="1" applyFont="1" applyFill="1" applyBorder="1" applyAlignment="1" applyProtection="1">
      <alignment horizontal="center" vertical="center" wrapText="1"/>
    </xf>
    <xf numFmtId="0" fontId="12" fillId="0" borderId="46" xfId="0" applyNumberFormat="1" applyFont="1" applyFill="1" applyBorder="1" applyAlignment="1" applyProtection="1">
      <alignment horizontal="left" vertical="center" wrapText="1"/>
    </xf>
    <xf numFmtId="0" fontId="13" fillId="0" borderId="38" xfId="0" applyNumberFormat="1" applyFont="1" applyFill="1" applyBorder="1" applyAlignment="1" applyProtection="1">
      <alignment horizontal="center" vertical="center" wrapText="1"/>
    </xf>
    <xf numFmtId="0" fontId="13" fillId="0" borderId="68" xfId="0" applyNumberFormat="1" applyFont="1" applyFill="1" applyBorder="1" applyAlignment="1" applyProtection="1">
      <alignment horizontal="center" vertical="center" wrapText="1"/>
    </xf>
    <xf numFmtId="0" fontId="13" fillId="0" borderId="27" xfId="0" applyNumberFormat="1" applyFont="1" applyFill="1" applyBorder="1" applyAlignment="1" applyProtection="1">
      <alignment horizontal="center" vertical="center" wrapText="1"/>
    </xf>
    <xf numFmtId="0" fontId="12" fillId="0" borderId="72" xfId="0" applyNumberFormat="1" applyFont="1" applyFill="1" applyBorder="1" applyAlignment="1" applyProtection="1">
      <alignment horizontal="center" vertical="center" wrapText="1"/>
    </xf>
    <xf numFmtId="0" fontId="10" fillId="0" borderId="37" xfId="0" applyNumberFormat="1" applyFont="1" applyFill="1" applyBorder="1" applyAlignment="1" applyProtection="1">
      <alignment horizontal="center" vertical="center"/>
    </xf>
    <xf numFmtId="0" fontId="10" fillId="0" borderId="70" xfId="0" applyNumberFormat="1" applyFont="1" applyFill="1" applyBorder="1" applyAlignment="1" applyProtection="1">
      <alignment horizontal="center" vertical="center"/>
    </xf>
    <xf numFmtId="4" fontId="12" fillId="0" borderId="38" xfId="0" applyNumberFormat="1" applyFont="1" applyFill="1" applyBorder="1" applyAlignment="1" applyProtection="1">
      <alignment horizontal="center" vertical="center" shrinkToFit="1"/>
    </xf>
    <xf numFmtId="4" fontId="12" fillId="0" borderId="68" xfId="0" applyNumberFormat="1" applyFont="1" applyFill="1" applyBorder="1" applyAlignment="1" applyProtection="1">
      <alignment horizontal="center" vertical="center" shrinkToFit="1"/>
    </xf>
    <xf numFmtId="4" fontId="12" fillId="0" borderId="37" xfId="0" applyNumberFormat="1" applyFont="1" applyFill="1" applyBorder="1" applyAlignment="1" applyProtection="1">
      <alignment horizontal="center" vertical="center" shrinkToFit="1"/>
    </xf>
    <xf numFmtId="4" fontId="12" fillId="0" borderId="70" xfId="0" applyNumberFormat="1" applyFont="1" applyFill="1" applyBorder="1" applyAlignment="1" applyProtection="1">
      <alignment horizontal="center" vertical="center" shrinkToFit="1"/>
    </xf>
    <xf numFmtId="0" fontId="13" fillId="0" borderId="44" xfId="0" applyNumberFormat="1" applyFont="1" applyFill="1" applyBorder="1" applyAlignment="1" applyProtection="1">
      <alignment horizontal="right" vertical="center" wrapText="1"/>
    </xf>
    <xf numFmtId="0" fontId="13" fillId="0" borderId="35" xfId="0" applyNumberFormat="1" applyFont="1" applyFill="1" applyBorder="1" applyAlignment="1" applyProtection="1">
      <alignment horizontal="center" vertical="top"/>
    </xf>
    <xf numFmtId="0" fontId="13" fillId="0" borderId="96" xfId="0" applyNumberFormat="1" applyFont="1" applyFill="1" applyBorder="1" applyAlignment="1" applyProtection="1">
      <alignment horizontal="center" vertical="top"/>
    </xf>
    <xf numFmtId="0" fontId="13" fillId="0" borderId="34" xfId="0" applyNumberFormat="1" applyFont="1" applyFill="1" applyBorder="1" applyAlignment="1" applyProtection="1">
      <alignment horizontal="center" vertical="top"/>
    </xf>
    <xf numFmtId="4" fontId="13" fillId="0" borderId="4" xfId="0" applyNumberFormat="1" applyFont="1" applyFill="1" applyBorder="1" applyAlignment="1" applyProtection="1">
      <alignment horizontal="center" vertical="center" shrinkToFit="1"/>
    </xf>
    <xf numFmtId="0" fontId="16" fillId="0" borderId="0" xfId="0" applyNumberFormat="1" applyFont="1" applyFill="1" applyBorder="1" applyAlignment="1" applyProtection="1">
      <alignment horizontal="left" vertical="center" indent="2"/>
    </xf>
    <xf numFmtId="0" fontId="13" fillId="0" borderId="109"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13" fillId="0" borderId="108" xfId="0" applyNumberFormat="1" applyFont="1" applyFill="1" applyBorder="1" applyAlignment="1" applyProtection="1">
      <alignment horizontal="center" vertical="center" wrapText="1"/>
    </xf>
    <xf numFmtId="0" fontId="13" fillId="0" borderId="76" xfId="0" applyNumberFormat="1" applyFont="1" applyFill="1" applyBorder="1" applyAlignment="1" applyProtection="1">
      <alignment horizontal="center" vertical="center" wrapText="1"/>
    </xf>
    <xf numFmtId="0" fontId="12" fillId="0" borderId="0" xfId="0" applyNumberFormat="1" applyFont="1" applyBorder="1" applyAlignment="1">
      <alignment horizontal="center" vertical="center"/>
    </xf>
    <xf numFmtId="0" fontId="12" fillId="0" borderId="117" xfId="0" applyNumberFormat="1" applyFont="1" applyBorder="1" applyAlignment="1">
      <alignment horizontal="center" vertical="center"/>
    </xf>
    <xf numFmtId="0" fontId="12" fillId="0" borderId="73"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2" xfId="0" applyNumberFormat="1" applyFont="1" applyBorder="1" applyAlignment="1">
      <alignment horizontal="center" wrapText="1"/>
    </xf>
    <xf numFmtId="0" fontId="12" fillId="0" borderId="17" xfId="0" applyNumberFormat="1" applyFont="1" applyBorder="1" applyAlignment="1">
      <alignment horizontal="center" wrapText="1"/>
    </xf>
    <xf numFmtId="0" fontId="12" fillId="0" borderId="15" xfId="0" applyNumberFormat="1" applyFont="1" applyBorder="1" applyAlignment="1">
      <alignment horizontal="center" wrapText="1"/>
    </xf>
    <xf numFmtId="0" fontId="12" fillId="0" borderId="50" xfId="0" applyNumberFormat="1" applyFont="1" applyFill="1" applyBorder="1" applyAlignment="1" applyProtection="1">
      <alignment horizontal="center" vertical="top" wrapText="1"/>
    </xf>
    <xf numFmtId="0" fontId="12" fillId="0" borderId="51" xfId="0" applyNumberFormat="1" applyFont="1" applyFill="1" applyBorder="1" applyAlignment="1" applyProtection="1">
      <alignment horizontal="center" vertical="top" wrapText="1"/>
    </xf>
    <xf numFmtId="0" fontId="13" fillId="0" borderId="49" xfId="0" applyNumberFormat="1" applyFont="1" applyFill="1" applyBorder="1" applyAlignment="1" applyProtection="1">
      <alignment horizontal="center" vertical="top" wrapText="1"/>
    </xf>
    <xf numFmtId="0" fontId="13" fillId="0" borderId="50" xfId="0" applyNumberFormat="1" applyFont="1" applyFill="1" applyBorder="1" applyAlignment="1" applyProtection="1">
      <alignment horizontal="center" vertical="top" wrapText="1"/>
    </xf>
    <xf numFmtId="0" fontId="13" fillId="0" borderId="51" xfId="0" applyNumberFormat="1" applyFont="1" applyFill="1" applyBorder="1" applyAlignment="1" applyProtection="1">
      <alignment horizontal="center" vertical="top" wrapText="1"/>
    </xf>
    <xf numFmtId="0" fontId="12" fillId="0" borderId="49" xfId="0" applyNumberFormat="1" applyFont="1" applyFill="1" applyBorder="1" applyAlignment="1" applyProtection="1">
      <alignment horizontal="center" vertical="top" wrapText="1"/>
    </xf>
  </cellXfs>
  <cellStyles count="12">
    <cellStyle name="st92" xfId="6" xr:uid="{00000000-0005-0000-0000-000000000000}"/>
    <cellStyle name="Гиперссылка" xfId="2" builtinId="8"/>
    <cellStyle name="Обычный" xfId="0" builtinId="0"/>
    <cellStyle name="Обычный 2" xfId="1" xr:uid="{00000000-0005-0000-0000-000003000000}"/>
    <cellStyle name="Обычный 2 2" xfId="4" xr:uid="{00000000-0005-0000-0000-000004000000}"/>
    <cellStyle name="Обычный 3" xfId="7" xr:uid="{00000000-0005-0000-0000-000005000000}"/>
    <cellStyle name="Обычный 4" xfId="8" xr:uid="{00000000-0005-0000-0000-000006000000}"/>
    <cellStyle name="Обычный 4 2" xfId="9" xr:uid="{00000000-0005-0000-0000-000007000000}"/>
    <cellStyle name="Обычный 5" xfId="10" xr:uid="{00000000-0005-0000-0000-000008000000}"/>
    <cellStyle name="Обычный 6" xfId="11" xr:uid="{00000000-0005-0000-0000-000009000000}"/>
    <cellStyle name="Обычный_Титульный" xfId="3" xr:uid="{00000000-0005-0000-0000-00000A000000}"/>
    <cellStyle name="Финансовый 2" xfId="5" xr:uid="{00000000-0005-0000-0000-00000B000000}"/>
  </cellStyles>
  <dxfs count="19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86;&#1095;&#1077;&#1085;&#1072;&#1103;%20&#1054;.&#1048;/2019.12.04%20-%202019%20&#1055;&#1060;&#1061;&#1044;,%20&#1057;&#1054;&#1064;%20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057;&#1077;&#1088;&#1075;&#1077;&#1081;\Downloads\&#1055;&#1060;&#1061;&#1044;%202021%20&#1057;&#1054;&#1064;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5"/>
      <sheetName val="6.6"/>
      <sheetName val="6.7"/>
      <sheetName val="2 - 2021"/>
      <sheetName val="2 - 2020"/>
      <sheetName val="2 - 2019"/>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1"/>
      <sheetName val="2"/>
      <sheetName val="3-1"/>
      <sheetName val="3-2"/>
      <sheetName val="Доходы"/>
      <sheetName val="Расходы 111"/>
      <sheetName val="Расходы 112"/>
      <sheetName val="Расходы 119 и проч"/>
      <sheetName val="Расходы КФО 2"/>
      <sheetName val="Расходы КФО 4"/>
      <sheetName val="Расходы КФО 5"/>
      <sheetName val="Расходы 400"/>
      <sheetName val="Проверочная таблица"/>
      <sheetName val="ИСПРАВЛЕНИЯ"/>
    </sheetNames>
    <sheetDataSet>
      <sheetData sheetId="0">
        <row r="2">
          <cell r="B2">
            <v>44196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DE187"/>
  <sheetViews>
    <sheetView showZeros="0" tabSelected="1" view="pageBreakPreview" zoomScale="85" zoomScaleNormal="80" zoomScaleSheetLayoutView="85" workbookViewId="0">
      <pane ySplit="2" topLeftCell="A90" activePane="bottomLeft" state="frozen"/>
      <selection pane="bottomLeft" activeCell="J177" sqref="J177"/>
    </sheetView>
  </sheetViews>
  <sheetFormatPr defaultColWidth="9.140625" defaultRowHeight="15.75" x14ac:dyDescent="0.25"/>
  <cols>
    <col min="1" max="1" width="10.28515625" style="80" customWidth="1"/>
    <col min="2" max="2" width="9" style="80" customWidth="1"/>
    <col min="3" max="3" width="12.5703125" style="80" customWidth="1"/>
    <col min="4" max="4" width="7.28515625" style="80" customWidth="1"/>
    <col min="5" max="7" width="15.140625" style="80" customWidth="1"/>
    <col min="8" max="8" width="4" style="80" customWidth="1"/>
    <col min="9" max="9" width="10" style="186" bestFit="1" customWidth="1"/>
    <col min="10" max="10" width="9.140625" style="322"/>
    <col min="11" max="11" width="9.5703125" style="322" bestFit="1" customWidth="1"/>
    <col min="12" max="12" width="9.140625" style="322"/>
    <col min="13" max="16" width="9.140625" style="80"/>
    <col min="17" max="17" width="9.140625" style="111"/>
    <col min="18" max="18" width="17.7109375" style="111" customWidth="1"/>
    <col min="19" max="20" width="17.7109375" style="80" customWidth="1"/>
    <col min="21" max="16384" width="9.140625" style="80"/>
  </cols>
  <sheetData>
    <row r="1" spans="1:20" s="72" customFormat="1" ht="24" customHeight="1" x14ac:dyDescent="0.25">
      <c r="A1" s="67" t="s">
        <v>250</v>
      </c>
      <c r="B1" s="877">
        <v>2021</v>
      </c>
      <c r="C1" s="877"/>
      <c r="D1" s="877"/>
      <c r="E1" s="68"/>
      <c r="F1" s="69"/>
      <c r="G1" s="69"/>
      <c r="H1" s="70"/>
      <c r="I1" s="183"/>
      <c r="J1" s="183"/>
      <c r="K1" s="183"/>
      <c r="L1" s="320"/>
      <c r="M1" s="71"/>
      <c r="N1" s="71"/>
      <c r="O1" s="71"/>
      <c r="P1" s="71"/>
      <c r="Q1" s="71"/>
      <c r="R1" s="71"/>
      <c r="S1" s="71"/>
      <c r="T1" s="71"/>
    </row>
    <row r="2" spans="1:20" s="72" customFormat="1" ht="24" customHeight="1" x14ac:dyDescent="0.25">
      <c r="A2" s="73" t="s">
        <v>15</v>
      </c>
      <c r="B2" s="878">
        <v>44196</v>
      </c>
      <c r="C2" s="878"/>
      <c r="D2" s="879"/>
      <c r="E2" s="687">
        <v>2021</v>
      </c>
      <c r="F2" s="687">
        <v>2022</v>
      </c>
      <c r="G2" s="687">
        <v>2023</v>
      </c>
      <c r="H2" s="74"/>
      <c r="I2" s="184"/>
      <c r="J2" s="184"/>
      <c r="K2" s="185"/>
      <c r="L2" s="321"/>
      <c r="Q2" s="75"/>
      <c r="R2" s="76">
        <v>2021</v>
      </c>
      <c r="S2" s="76">
        <v>2022</v>
      </c>
      <c r="T2" s="76">
        <v>2023</v>
      </c>
    </row>
    <row r="3" spans="1:20" ht="18.75" customHeight="1" x14ac:dyDescent="0.3">
      <c r="A3" s="363">
        <v>2</v>
      </c>
      <c r="B3" s="839">
        <v>120121</v>
      </c>
      <c r="C3" s="840"/>
      <c r="D3" s="840"/>
      <c r="E3" s="77"/>
      <c r="F3" s="77"/>
      <c r="G3" s="77"/>
      <c r="H3" s="78"/>
      <c r="I3" s="186" t="s">
        <v>251</v>
      </c>
      <c r="J3" s="187" t="s">
        <v>470</v>
      </c>
      <c r="K3" s="188"/>
      <c r="P3" s="81" t="s">
        <v>252</v>
      </c>
      <c r="Q3" s="82"/>
      <c r="R3" s="83">
        <f>SUM(R4:R9)</f>
        <v>1500000</v>
      </c>
      <c r="S3" s="83">
        <f>SUM(S4:S9)</f>
        <v>1500000</v>
      </c>
      <c r="T3" s="84">
        <f>SUM(T4:T9)</f>
        <v>1500000</v>
      </c>
    </row>
    <row r="4" spans="1:20" ht="18.75" customHeight="1" x14ac:dyDescent="0.3">
      <c r="A4" s="363">
        <v>2</v>
      </c>
      <c r="B4" s="880">
        <v>130131</v>
      </c>
      <c r="C4" s="880"/>
      <c r="D4" s="839"/>
      <c r="E4" s="77">
        <v>593000</v>
      </c>
      <c r="F4" s="77">
        <v>593000</v>
      </c>
      <c r="G4" s="77">
        <v>593000</v>
      </c>
      <c r="H4" s="78"/>
      <c r="I4" s="186" t="s">
        <v>253</v>
      </c>
      <c r="J4" s="187"/>
      <c r="K4" s="188"/>
      <c r="P4" s="85"/>
      <c r="Q4" s="82">
        <v>120</v>
      </c>
      <c r="R4" s="86">
        <f>E3</f>
        <v>0</v>
      </c>
      <c r="S4" s="86">
        <f>F3</f>
        <v>0</v>
      </c>
      <c r="T4" s="87">
        <f>G3</f>
        <v>0</v>
      </c>
    </row>
    <row r="5" spans="1:20" ht="18.75" customHeight="1" x14ac:dyDescent="0.3">
      <c r="A5" s="363">
        <v>2</v>
      </c>
      <c r="B5" s="880">
        <v>130135</v>
      </c>
      <c r="C5" s="880"/>
      <c r="D5" s="839"/>
      <c r="E5" s="77">
        <v>157000</v>
      </c>
      <c r="F5" s="77">
        <v>157000</v>
      </c>
      <c r="G5" s="77">
        <v>157000</v>
      </c>
      <c r="H5" s="78"/>
      <c r="I5" s="186" t="s">
        <v>254</v>
      </c>
      <c r="J5" s="187"/>
      <c r="K5" s="188"/>
      <c r="P5" s="85"/>
      <c r="Q5" s="82">
        <v>130</v>
      </c>
      <c r="R5" s="86">
        <f>E4+E5</f>
        <v>750000</v>
      </c>
      <c r="S5" s="86">
        <f>F4+F5</f>
        <v>750000</v>
      </c>
      <c r="T5" s="87">
        <f>G4+G5</f>
        <v>750000</v>
      </c>
    </row>
    <row r="6" spans="1:20" ht="18.75" customHeight="1" x14ac:dyDescent="0.3">
      <c r="A6" s="363">
        <v>2</v>
      </c>
      <c r="B6" s="839">
        <v>140141</v>
      </c>
      <c r="C6" s="840"/>
      <c r="D6" s="840"/>
      <c r="E6" s="77"/>
      <c r="F6" s="77"/>
      <c r="G6" s="77"/>
      <c r="H6" s="78"/>
      <c r="I6" s="186" t="s">
        <v>255</v>
      </c>
      <c r="P6" s="85"/>
      <c r="Q6" s="82">
        <v>140</v>
      </c>
      <c r="R6" s="86">
        <f>E6+E7</f>
        <v>0</v>
      </c>
      <c r="S6" s="86">
        <f t="shared" ref="S6:T6" si="0">F6+F7</f>
        <v>0</v>
      </c>
      <c r="T6" s="87">
        <f t="shared" si="0"/>
        <v>0</v>
      </c>
    </row>
    <row r="7" spans="1:20" ht="18.75" customHeight="1" x14ac:dyDescent="0.3">
      <c r="A7" s="363">
        <v>2</v>
      </c>
      <c r="B7" s="839">
        <v>140145</v>
      </c>
      <c r="C7" s="840"/>
      <c r="D7" s="840"/>
      <c r="E7" s="77"/>
      <c r="F7" s="77"/>
      <c r="G7" s="77"/>
      <c r="H7" s="78"/>
      <c r="I7" s="186" t="s">
        <v>433</v>
      </c>
      <c r="P7" s="85"/>
      <c r="Q7" s="82">
        <v>150</v>
      </c>
      <c r="R7" s="86">
        <f>E8+E9</f>
        <v>750000</v>
      </c>
      <c r="S7" s="86">
        <f t="shared" ref="S7:T7" si="1">F8+F9</f>
        <v>750000</v>
      </c>
      <c r="T7" s="87">
        <f t="shared" si="1"/>
        <v>750000</v>
      </c>
    </row>
    <row r="8" spans="1:20" ht="18.75" customHeight="1" x14ac:dyDescent="0.3">
      <c r="A8" s="363">
        <v>2</v>
      </c>
      <c r="B8" s="839">
        <v>150152</v>
      </c>
      <c r="C8" s="840"/>
      <c r="D8" s="840"/>
      <c r="E8" s="77"/>
      <c r="F8" s="77"/>
      <c r="G8" s="77"/>
      <c r="H8" s="78"/>
      <c r="I8" s="186" t="s">
        <v>434</v>
      </c>
      <c r="P8" s="85"/>
      <c r="Q8" s="82">
        <v>180</v>
      </c>
      <c r="R8" s="86">
        <f t="shared" ref="R8:T9" si="2">E11</f>
        <v>0</v>
      </c>
      <c r="S8" s="86">
        <f t="shared" si="2"/>
        <v>0</v>
      </c>
      <c r="T8" s="87">
        <f t="shared" si="2"/>
        <v>0</v>
      </c>
    </row>
    <row r="9" spans="1:20" ht="18.75" customHeight="1" x14ac:dyDescent="0.3">
      <c r="A9" s="363">
        <v>2</v>
      </c>
      <c r="B9" s="839">
        <v>150155</v>
      </c>
      <c r="C9" s="840"/>
      <c r="D9" s="840"/>
      <c r="E9" s="77">
        <v>750000</v>
      </c>
      <c r="F9" s="77">
        <v>750000</v>
      </c>
      <c r="G9" s="77">
        <v>750000</v>
      </c>
      <c r="H9" s="78"/>
      <c r="I9" s="186" t="s">
        <v>471</v>
      </c>
      <c r="J9" s="187"/>
      <c r="K9" s="188"/>
      <c r="P9" s="88"/>
      <c r="Q9" s="89">
        <v>440</v>
      </c>
      <c r="R9" s="90">
        <f t="shared" si="2"/>
        <v>0</v>
      </c>
      <c r="S9" s="90">
        <f t="shared" si="2"/>
        <v>0</v>
      </c>
      <c r="T9" s="91">
        <f t="shared" si="2"/>
        <v>0</v>
      </c>
    </row>
    <row r="10" spans="1:20" ht="18.75" customHeight="1" x14ac:dyDescent="0.3">
      <c r="A10" s="363">
        <v>2</v>
      </c>
      <c r="B10" s="881" t="s">
        <v>256</v>
      </c>
      <c r="C10" s="881"/>
      <c r="D10" s="882"/>
      <c r="E10" s="77"/>
      <c r="F10" s="77"/>
      <c r="G10" s="77"/>
      <c r="H10" s="78"/>
      <c r="J10" s="187"/>
      <c r="K10" s="188"/>
      <c r="P10" s="94">
        <v>200</v>
      </c>
      <c r="Q10" s="95"/>
      <c r="R10" s="96">
        <f>SUM(R11:R22)</f>
        <v>1503714.69</v>
      </c>
      <c r="S10" s="96">
        <f>SUM(S11:S22)</f>
        <v>1500000</v>
      </c>
      <c r="T10" s="97">
        <f>SUM(T11:T22)</f>
        <v>1500000</v>
      </c>
    </row>
    <row r="11" spans="1:20" ht="18.75" customHeight="1" x14ac:dyDescent="0.3">
      <c r="A11" s="363">
        <v>2</v>
      </c>
      <c r="B11" s="880">
        <v>180189</v>
      </c>
      <c r="C11" s="880"/>
      <c r="D11" s="839"/>
      <c r="E11" s="77"/>
      <c r="F11" s="77"/>
      <c r="G11" s="77"/>
      <c r="H11" s="78"/>
      <c r="I11" s="186" t="s">
        <v>257</v>
      </c>
      <c r="J11" s="187"/>
      <c r="K11" s="188"/>
      <c r="P11" s="85"/>
      <c r="Q11" s="82">
        <v>111</v>
      </c>
      <c r="R11" s="86">
        <f>SUMIFS($E$13:$E$51,$B$13:$B$51,Q11)</f>
        <v>253714.69</v>
      </c>
      <c r="S11" s="86">
        <f t="shared" ref="S11:S22" si="3">SUMIFS($F$13:$F$51,$B$13:$B$51,Q11)</f>
        <v>250000</v>
      </c>
      <c r="T11" s="87">
        <f t="shared" ref="T11:T22" si="4">SUMIFS($G$13:$G$51,$B$13:$B$51,Q11)</f>
        <v>250000</v>
      </c>
    </row>
    <row r="12" spans="1:20" s="93" customFormat="1" ht="18.75" customHeight="1" thickBot="1" x14ac:dyDescent="0.35">
      <c r="A12" s="364">
        <v>2</v>
      </c>
      <c r="B12" s="883">
        <v>440</v>
      </c>
      <c r="C12" s="883"/>
      <c r="D12" s="884"/>
      <c r="E12" s="92"/>
      <c r="F12" s="92"/>
      <c r="G12" s="92"/>
      <c r="H12" s="78"/>
      <c r="I12" s="189" t="s">
        <v>258</v>
      </c>
      <c r="J12" s="187"/>
      <c r="K12" s="188"/>
      <c r="L12" s="323"/>
      <c r="P12" s="85"/>
      <c r="Q12" s="82">
        <v>112</v>
      </c>
      <c r="R12" s="86">
        <f t="shared" ref="R12:R22" si="5">SUMIFS($E$13:$E$51,$B$13:$B$51,Q12)</f>
        <v>0</v>
      </c>
      <c r="S12" s="86">
        <f t="shared" si="3"/>
        <v>0</v>
      </c>
      <c r="T12" s="87">
        <f t="shared" si="4"/>
        <v>0</v>
      </c>
    </row>
    <row r="13" spans="1:20" s="93" customFormat="1" ht="18.75" customHeight="1" thickTop="1" x14ac:dyDescent="0.3">
      <c r="A13" s="365">
        <v>2</v>
      </c>
      <c r="B13" s="98">
        <v>111</v>
      </c>
      <c r="C13" s="98"/>
      <c r="D13" s="98">
        <v>211</v>
      </c>
      <c r="E13" s="806">
        <f>250000+3714.69</f>
        <v>253714.69</v>
      </c>
      <c r="F13" s="806">
        <v>250000</v>
      </c>
      <c r="G13" s="806">
        <v>250000</v>
      </c>
      <c r="H13" s="99"/>
      <c r="I13" s="189"/>
      <c r="J13" s="323"/>
      <c r="K13" s="323"/>
      <c r="L13" s="323"/>
      <c r="P13" s="85"/>
      <c r="Q13" s="82">
        <v>113</v>
      </c>
      <c r="R13" s="86">
        <f t="shared" si="5"/>
        <v>0</v>
      </c>
      <c r="S13" s="86">
        <f t="shared" si="3"/>
        <v>0</v>
      </c>
      <c r="T13" s="87">
        <f t="shared" si="4"/>
        <v>0</v>
      </c>
    </row>
    <row r="14" spans="1:20" ht="18.75" customHeight="1" x14ac:dyDescent="0.3">
      <c r="A14" s="363">
        <v>2</v>
      </c>
      <c r="B14" s="100">
        <v>112</v>
      </c>
      <c r="C14" s="100"/>
      <c r="D14" s="100">
        <v>212</v>
      </c>
      <c r="E14" s="114"/>
      <c r="F14" s="114"/>
      <c r="G14" s="114"/>
      <c r="H14" s="101"/>
      <c r="I14" s="186" t="s">
        <v>259</v>
      </c>
      <c r="P14" s="85"/>
      <c r="Q14" s="82">
        <v>119</v>
      </c>
      <c r="R14" s="86">
        <f t="shared" si="5"/>
        <v>75500</v>
      </c>
      <c r="S14" s="86">
        <f t="shared" si="3"/>
        <v>75500</v>
      </c>
      <c r="T14" s="87">
        <f t="shared" si="4"/>
        <v>75500</v>
      </c>
    </row>
    <row r="15" spans="1:20" ht="18.75" customHeight="1" x14ac:dyDescent="0.3">
      <c r="A15" s="363">
        <v>2</v>
      </c>
      <c r="B15" s="133">
        <v>112</v>
      </c>
      <c r="C15" s="133"/>
      <c r="D15" s="133">
        <v>226</v>
      </c>
      <c r="E15" s="142"/>
      <c r="F15" s="142"/>
      <c r="G15" s="143"/>
      <c r="H15" s="101"/>
      <c r="I15" s="186" t="s">
        <v>260</v>
      </c>
      <c r="P15" s="85"/>
      <c r="Q15" s="82">
        <v>321</v>
      </c>
      <c r="R15" s="86">
        <f t="shared" si="5"/>
        <v>0</v>
      </c>
      <c r="S15" s="86">
        <f t="shared" si="3"/>
        <v>0</v>
      </c>
      <c r="T15" s="87">
        <f t="shared" si="4"/>
        <v>0</v>
      </c>
    </row>
    <row r="16" spans="1:20" ht="18.75" customHeight="1" x14ac:dyDescent="0.3">
      <c r="A16" s="363">
        <v>2</v>
      </c>
      <c r="B16" s="807">
        <v>112</v>
      </c>
      <c r="C16" s="807"/>
      <c r="D16" s="807">
        <v>226</v>
      </c>
      <c r="E16" s="808"/>
      <c r="F16" s="808"/>
      <c r="G16" s="809"/>
      <c r="H16" s="101"/>
      <c r="I16" s="186" t="s">
        <v>261</v>
      </c>
      <c r="P16" s="85"/>
      <c r="Q16" s="82">
        <v>350</v>
      </c>
      <c r="R16" s="86">
        <f t="shared" si="5"/>
        <v>0</v>
      </c>
      <c r="S16" s="86">
        <f t="shared" si="3"/>
        <v>0</v>
      </c>
      <c r="T16" s="87">
        <f t="shared" si="4"/>
        <v>0</v>
      </c>
    </row>
    <row r="17" spans="1:20" ht="18.75" customHeight="1" x14ac:dyDescent="0.3">
      <c r="A17" s="363">
        <v>2</v>
      </c>
      <c r="B17" s="119">
        <v>112</v>
      </c>
      <c r="C17" s="119"/>
      <c r="D17" s="119">
        <v>226</v>
      </c>
      <c r="E17" s="810"/>
      <c r="F17" s="810"/>
      <c r="G17" s="811"/>
      <c r="H17" s="101"/>
      <c r="I17" s="186" t="s">
        <v>262</v>
      </c>
      <c r="P17" s="85"/>
      <c r="Q17" s="82">
        <v>244</v>
      </c>
      <c r="R17" s="86">
        <f t="shared" si="5"/>
        <v>1056000</v>
      </c>
      <c r="S17" s="86">
        <f t="shared" si="3"/>
        <v>1056000</v>
      </c>
      <c r="T17" s="87">
        <f t="shared" si="4"/>
        <v>1056000</v>
      </c>
    </row>
    <row r="18" spans="1:20" ht="18.75" customHeight="1" x14ac:dyDescent="0.3">
      <c r="A18" s="363">
        <v>2</v>
      </c>
      <c r="B18" s="100">
        <v>113</v>
      </c>
      <c r="C18" s="100"/>
      <c r="D18" s="100">
        <v>226</v>
      </c>
      <c r="E18" s="115"/>
      <c r="F18" s="115"/>
      <c r="G18" s="115"/>
      <c r="H18" s="99"/>
      <c r="I18" s="190" t="s">
        <v>263</v>
      </c>
      <c r="P18" s="85"/>
      <c r="Q18" s="82">
        <v>247</v>
      </c>
      <c r="R18" s="86">
        <f t="shared" si="5"/>
        <v>115000</v>
      </c>
      <c r="S18" s="86">
        <f t="shared" si="3"/>
        <v>115000</v>
      </c>
      <c r="T18" s="87">
        <f t="shared" si="4"/>
        <v>115000</v>
      </c>
    </row>
    <row r="19" spans="1:20" ht="18.75" customHeight="1" x14ac:dyDescent="0.3">
      <c r="A19" s="363">
        <v>2</v>
      </c>
      <c r="B19" s="100">
        <v>119</v>
      </c>
      <c r="C19" s="100"/>
      <c r="D19" s="100">
        <v>213</v>
      </c>
      <c r="E19" s="115">
        <v>75500</v>
      </c>
      <c r="F19" s="115">
        <v>75500</v>
      </c>
      <c r="G19" s="115">
        <v>75500</v>
      </c>
      <c r="H19" s="102"/>
      <c r="P19" s="85"/>
      <c r="Q19" s="82">
        <v>831</v>
      </c>
      <c r="R19" s="86">
        <f t="shared" si="5"/>
        <v>500</v>
      </c>
      <c r="S19" s="86">
        <f t="shared" si="3"/>
        <v>500</v>
      </c>
      <c r="T19" s="87">
        <f t="shared" si="4"/>
        <v>500</v>
      </c>
    </row>
    <row r="20" spans="1:20" ht="18.75" customHeight="1" x14ac:dyDescent="0.3">
      <c r="A20" s="363">
        <v>2</v>
      </c>
      <c r="B20" s="100">
        <v>244</v>
      </c>
      <c r="C20" s="100"/>
      <c r="D20" s="100">
        <v>221</v>
      </c>
      <c r="E20" s="115">
        <v>5000</v>
      </c>
      <c r="F20" s="115">
        <v>5000</v>
      </c>
      <c r="G20" s="115">
        <v>5000</v>
      </c>
      <c r="H20" s="102"/>
      <c r="P20" s="85"/>
      <c r="Q20" s="82">
        <v>851</v>
      </c>
      <c r="R20" s="86">
        <f t="shared" si="5"/>
        <v>0</v>
      </c>
      <c r="S20" s="86">
        <f t="shared" si="3"/>
        <v>0</v>
      </c>
      <c r="T20" s="87">
        <f t="shared" si="4"/>
        <v>0</v>
      </c>
    </row>
    <row r="21" spans="1:20" ht="18.75" customHeight="1" x14ac:dyDescent="0.3">
      <c r="A21" s="363">
        <v>2</v>
      </c>
      <c r="B21" s="100">
        <v>244</v>
      </c>
      <c r="C21" s="100"/>
      <c r="D21" s="100">
        <v>222</v>
      </c>
      <c r="E21" s="114"/>
      <c r="F21" s="114"/>
      <c r="G21" s="114"/>
      <c r="H21" s="102"/>
      <c r="P21" s="85"/>
      <c r="Q21" s="82">
        <v>852</v>
      </c>
      <c r="R21" s="86">
        <f t="shared" si="5"/>
        <v>0</v>
      </c>
      <c r="S21" s="86">
        <f t="shared" si="3"/>
        <v>0</v>
      </c>
      <c r="T21" s="87">
        <f t="shared" si="4"/>
        <v>0</v>
      </c>
    </row>
    <row r="22" spans="1:20" ht="18.75" customHeight="1" x14ac:dyDescent="0.3">
      <c r="A22" s="363">
        <v>2</v>
      </c>
      <c r="B22" s="100">
        <v>244</v>
      </c>
      <c r="C22" s="100"/>
      <c r="D22" s="100">
        <v>223</v>
      </c>
      <c r="E22" s="115">
        <v>30000</v>
      </c>
      <c r="F22" s="115">
        <v>30000</v>
      </c>
      <c r="G22" s="115">
        <v>30000</v>
      </c>
      <c r="H22" s="102"/>
      <c r="I22" s="186" t="s">
        <v>835</v>
      </c>
      <c r="P22" s="88"/>
      <c r="Q22" s="89">
        <v>853</v>
      </c>
      <c r="R22" s="90">
        <f t="shared" si="5"/>
        <v>3000</v>
      </c>
      <c r="S22" s="90">
        <f t="shared" si="3"/>
        <v>3000</v>
      </c>
      <c r="T22" s="91">
        <f t="shared" si="4"/>
        <v>3000</v>
      </c>
    </row>
    <row r="23" spans="1:20" ht="18.75" customHeight="1" x14ac:dyDescent="0.3">
      <c r="A23" s="363">
        <v>2</v>
      </c>
      <c r="B23" s="820">
        <v>247</v>
      </c>
      <c r="C23" s="820"/>
      <c r="D23" s="820">
        <v>223</v>
      </c>
      <c r="E23" s="115">
        <v>115000</v>
      </c>
      <c r="F23" s="115">
        <v>115000</v>
      </c>
      <c r="G23" s="115">
        <v>115000</v>
      </c>
      <c r="H23" s="102"/>
      <c r="I23" s="186" t="s">
        <v>833</v>
      </c>
      <c r="P23" s="103">
        <v>450</v>
      </c>
      <c r="Q23" s="104"/>
      <c r="R23" s="105">
        <f>-(G173+G179)</f>
        <v>-3714.69</v>
      </c>
      <c r="S23" s="105"/>
      <c r="T23" s="106"/>
    </row>
    <row r="24" spans="1:20" ht="18.75" customHeight="1" x14ac:dyDescent="0.3">
      <c r="A24" s="363">
        <v>2</v>
      </c>
      <c r="B24" s="100">
        <v>244</v>
      </c>
      <c r="C24" s="100"/>
      <c r="D24" s="100">
        <v>224</v>
      </c>
      <c r="E24" s="115"/>
      <c r="F24" s="115"/>
      <c r="G24" s="115"/>
      <c r="H24" s="102"/>
      <c r="I24" s="186" t="s">
        <v>264</v>
      </c>
      <c r="P24" s="103">
        <v>500</v>
      </c>
      <c r="Q24" s="104"/>
      <c r="R24" s="105">
        <f>-R23</f>
        <v>3714.69</v>
      </c>
      <c r="S24" s="105"/>
      <c r="T24" s="106"/>
    </row>
    <row r="25" spans="1:20" ht="18.75" customHeight="1" x14ac:dyDescent="0.3">
      <c r="A25" s="363">
        <v>2</v>
      </c>
      <c r="B25" s="100">
        <v>244</v>
      </c>
      <c r="C25" s="100"/>
      <c r="D25" s="100">
        <v>224</v>
      </c>
      <c r="E25" s="115"/>
      <c r="F25" s="115"/>
      <c r="G25" s="115"/>
      <c r="H25" s="102"/>
      <c r="I25" s="186" t="s">
        <v>265</v>
      </c>
      <c r="P25" s="107">
        <v>590</v>
      </c>
      <c r="Q25" s="108"/>
      <c r="R25" s="109">
        <f>G179</f>
        <v>0</v>
      </c>
      <c r="S25" s="109"/>
      <c r="T25" s="110"/>
    </row>
    <row r="26" spans="1:20" ht="18.75" customHeight="1" x14ac:dyDescent="0.3">
      <c r="A26" s="363">
        <v>2</v>
      </c>
      <c r="B26" s="100">
        <v>244</v>
      </c>
      <c r="C26" s="100"/>
      <c r="D26" s="100">
        <v>225</v>
      </c>
      <c r="E26" s="114"/>
      <c r="F26" s="114"/>
      <c r="G26" s="114"/>
      <c r="H26" s="102"/>
    </row>
    <row r="27" spans="1:20" ht="18.75" customHeight="1" x14ac:dyDescent="0.3">
      <c r="A27" s="363">
        <v>2</v>
      </c>
      <c r="B27" s="133">
        <v>244</v>
      </c>
      <c r="C27" s="133"/>
      <c r="D27" s="133">
        <v>226</v>
      </c>
      <c r="E27" s="142"/>
      <c r="F27" s="142"/>
      <c r="G27" s="143"/>
      <c r="H27" s="102"/>
      <c r="I27" s="186" t="s">
        <v>266</v>
      </c>
      <c r="Q27" s="80"/>
      <c r="R27" s="80"/>
    </row>
    <row r="28" spans="1:20" ht="18.75" customHeight="1" x14ac:dyDescent="0.3">
      <c r="A28" s="363">
        <v>2</v>
      </c>
      <c r="B28" s="807">
        <v>244</v>
      </c>
      <c r="C28" s="807"/>
      <c r="D28" s="807">
        <v>226</v>
      </c>
      <c r="E28" s="808"/>
      <c r="F28" s="808"/>
      <c r="G28" s="809"/>
      <c r="H28" s="102"/>
      <c r="I28" s="186" t="s">
        <v>267</v>
      </c>
    </row>
    <row r="29" spans="1:20" ht="18.75" customHeight="1" x14ac:dyDescent="0.3">
      <c r="A29" s="363">
        <v>2</v>
      </c>
      <c r="B29" s="807">
        <v>244</v>
      </c>
      <c r="C29" s="807"/>
      <c r="D29" s="807">
        <v>226</v>
      </c>
      <c r="E29" s="808"/>
      <c r="F29" s="808"/>
      <c r="G29" s="809"/>
      <c r="H29" s="102"/>
      <c r="I29" s="186" t="s">
        <v>268</v>
      </c>
    </row>
    <row r="30" spans="1:20" ht="18.75" customHeight="1" x14ac:dyDescent="0.3">
      <c r="A30" s="363">
        <v>2</v>
      </c>
      <c r="B30" s="119">
        <v>244</v>
      </c>
      <c r="C30" s="119"/>
      <c r="D30" s="119">
        <v>226</v>
      </c>
      <c r="E30" s="810">
        <f>50000-1500</f>
        <v>48500</v>
      </c>
      <c r="F30" s="810">
        <f t="shared" ref="F30:G30" si="6">50000-1500</f>
        <v>48500</v>
      </c>
      <c r="G30" s="810">
        <f t="shared" si="6"/>
        <v>48500</v>
      </c>
      <c r="H30" s="102"/>
      <c r="I30" s="186" t="s">
        <v>269</v>
      </c>
      <c r="R30" s="112"/>
    </row>
    <row r="31" spans="1:20" ht="18.75" customHeight="1" x14ac:dyDescent="0.3">
      <c r="A31" s="363">
        <v>2</v>
      </c>
      <c r="B31" s="100">
        <v>244</v>
      </c>
      <c r="C31" s="100"/>
      <c r="D31" s="100">
        <v>227</v>
      </c>
      <c r="E31" s="115"/>
      <c r="F31" s="115"/>
      <c r="G31" s="115"/>
      <c r="H31" s="102"/>
      <c r="I31" s="186" t="s">
        <v>270</v>
      </c>
      <c r="R31" s="112"/>
    </row>
    <row r="32" spans="1:20" ht="18.75" customHeight="1" x14ac:dyDescent="0.3">
      <c r="A32" s="363">
        <v>2</v>
      </c>
      <c r="B32" s="100">
        <v>244</v>
      </c>
      <c r="C32" s="100"/>
      <c r="D32" s="100">
        <v>228</v>
      </c>
      <c r="E32" s="115"/>
      <c r="F32" s="115"/>
      <c r="G32" s="115"/>
      <c r="H32" s="102"/>
      <c r="I32" s="186" t="s">
        <v>271</v>
      </c>
      <c r="R32" s="112"/>
    </row>
    <row r="33" spans="1:18" ht="18.75" customHeight="1" x14ac:dyDescent="0.3">
      <c r="A33" s="363">
        <v>2</v>
      </c>
      <c r="B33" s="100">
        <v>244</v>
      </c>
      <c r="C33" s="100"/>
      <c r="D33" s="100">
        <v>341</v>
      </c>
      <c r="E33" s="115">
        <v>500</v>
      </c>
      <c r="F33" s="115">
        <v>500</v>
      </c>
      <c r="G33" s="115">
        <v>500</v>
      </c>
      <c r="H33" s="102"/>
      <c r="I33" s="186" t="s">
        <v>272</v>
      </c>
    </row>
    <row r="34" spans="1:18" ht="18.75" customHeight="1" x14ac:dyDescent="0.3">
      <c r="A34" s="363">
        <v>2</v>
      </c>
      <c r="B34" s="100">
        <v>244</v>
      </c>
      <c r="C34" s="100"/>
      <c r="D34" s="100">
        <v>342</v>
      </c>
      <c r="E34" s="115">
        <v>21000</v>
      </c>
      <c r="F34" s="115">
        <v>21000</v>
      </c>
      <c r="G34" s="115">
        <v>21000</v>
      </c>
      <c r="H34" s="102"/>
      <c r="I34" s="186" t="s">
        <v>273</v>
      </c>
    </row>
    <row r="35" spans="1:18" ht="18.75" customHeight="1" x14ac:dyDescent="0.3">
      <c r="A35" s="363">
        <v>2</v>
      </c>
      <c r="B35" s="100">
        <v>244</v>
      </c>
      <c r="C35" s="100"/>
      <c r="D35" s="100">
        <v>343</v>
      </c>
      <c r="E35" s="115">
        <v>2000</v>
      </c>
      <c r="F35" s="115">
        <v>2000</v>
      </c>
      <c r="G35" s="115">
        <v>2000</v>
      </c>
      <c r="H35" s="102"/>
      <c r="I35" s="186" t="s">
        <v>274</v>
      </c>
    </row>
    <row r="36" spans="1:18" ht="18.75" customHeight="1" x14ac:dyDescent="0.3">
      <c r="A36" s="363">
        <v>2</v>
      </c>
      <c r="B36" s="100">
        <v>244</v>
      </c>
      <c r="C36" s="100"/>
      <c r="D36" s="100">
        <v>344</v>
      </c>
      <c r="E36" s="115">
        <v>18000</v>
      </c>
      <c r="F36" s="115">
        <v>18000</v>
      </c>
      <c r="G36" s="115">
        <v>18000</v>
      </c>
      <c r="H36" s="102"/>
      <c r="I36" s="186" t="s">
        <v>275</v>
      </c>
    </row>
    <row r="37" spans="1:18" ht="18.75" customHeight="1" x14ac:dyDescent="0.3">
      <c r="A37" s="363">
        <v>2</v>
      </c>
      <c r="B37" s="100">
        <v>244</v>
      </c>
      <c r="C37" s="100"/>
      <c r="D37" s="100">
        <v>345</v>
      </c>
      <c r="E37" s="115"/>
      <c r="F37" s="115"/>
      <c r="G37" s="115"/>
      <c r="H37" s="102"/>
      <c r="I37" s="186" t="s">
        <v>276</v>
      </c>
      <c r="R37" s="112"/>
    </row>
    <row r="38" spans="1:18" ht="18.75" customHeight="1" x14ac:dyDescent="0.3">
      <c r="A38" s="363">
        <v>2</v>
      </c>
      <c r="B38" s="100">
        <v>244</v>
      </c>
      <c r="C38" s="100"/>
      <c r="D38" s="100">
        <v>346</v>
      </c>
      <c r="E38" s="115">
        <v>56000</v>
      </c>
      <c r="F38" s="115">
        <v>56000</v>
      </c>
      <c r="G38" s="115">
        <v>56000</v>
      </c>
      <c r="H38" s="102"/>
      <c r="I38" s="186" t="s">
        <v>277</v>
      </c>
    </row>
    <row r="39" spans="1:18" ht="18.75" customHeight="1" x14ac:dyDescent="0.3">
      <c r="A39" s="363">
        <v>2</v>
      </c>
      <c r="B39" s="100">
        <v>244</v>
      </c>
      <c r="C39" s="100"/>
      <c r="D39" s="100">
        <v>347</v>
      </c>
      <c r="E39" s="115"/>
      <c r="F39" s="115"/>
      <c r="G39" s="115"/>
      <c r="H39" s="102"/>
      <c r="I39" s="186" t="s">
        <v>278</v>
      </c>
    </row>
    <row r="40" spans="1:18" ht="18.75" customHeight="1" x14ac:dyDescent="0.3">
      <c r="A40" s="363">
        <v>2</v>
      </c>
      <c r="B40" s="100">
        <v>244</v>
      </c>
      <c r="C40" s="100"/>
      <c r="D40" s="100">
        <v>349</v>
      </c>
      <c r="E40" s="115">
        <v>115000</v>
      </c>
      <c r="F40" s="115">
        <v>115000</v>
      </c>
      <c r="G40" s="115">
        <v>115000</v>
      </c>
      <c r="H40" s="102"/>
      <c r="I40" s="186" t="s">
        <v>279</v>
      </c>
    </row>
    <row r="41" spans="1:18" ht="18.75" customHeight="1" x14ac:dyDescent="0.3">
      <c r="A41" s="363">
        <v>2</v>
      </c>
      <c r="B41" s="133">
        <v>244</v>
      </c>
      <c r="C41" s="133"/>
      <c r="D41" s="133">
        <v>350</v>
      </c>
      <c r="E41" s="814"/>
      <c r="F41" s="814"/>
      <c r="G41" s="815"/>
      <c r="H41" s="102"/>
      <c r="I41" s="186" t="s">
        <v>836</v>
      </c>
    </row>
    <row r="42" spans="1:18" ht="18.75" customHeight="1" x14ac:dyDescent="0.3">
      <c r="A42" s="363">
        <v>2</v>
      </c>
      <c r="B42" s="133">
        <v>321</v>
      </c>
      <c r="C42" s="133"/>
      <c r="D42" s="133">
        <v>264</v>
      </c>
      <c r="E42" s="142"/>
      <c r="F42" s="142"/>
      <c r="G42" s="143"/>
      <c r="H42" s="102"/>
      <c r="I42" s="186" t="s">
        <v>280</v>
      </c>
    </row>
    <row r="43" spans="1:18" ht="18.75" customHeight="1" x14ac:dyDescent="0.3">
      <c r="A43" s="363">
        <v>2</v>
      </c>
      <c r="B43" s="119">
        <v>321</v>
      </c>
      <c r="C43" s="119"/>
      <c r="D43" s="119">
        <v>264</v>
      </c>
      <c r="E43" s="810"/>
      <c r="F43" s="810"/>
      <c r="G43" s="811"/>
      <c r="H43" s="102"/>
      <c r="I43" s="186" t="s">
        <v>281</v>
      </c>
    </row>
    <row r="44" spans="1:18" ht="18.75" customHeight="1" x14ac:dyDescent="0.3">
      <c r="A44" s="363">
        <v>2</v>
      </c>
      <c r="B44" s="100">
        <v>831</v>
      </c>
      <c r="C44" s="100"/>
      <c r="D44" s="100">
        <v>295</v>
      </c>
      <c r="E44" s="115"/>
      <c r="F44" s="115"/>
      <c r="G44" s="115"/>
      <c r="H44" s="102"/>
      <c r="I44" s="186" t="s">
        <v>429</v>
      </c>
    </row>
    <row r="45" spans="1:18" ht="18.75" customHeight="1" x14ac:dyDescent="0.3">
      <c r="A45" s="363">
        <v>2</v>
      </c>
      <c r="B45" s="100">
        <v>831</v>
      </c>
      <c r="C45" s="100"/>
      <c r="D45" s="100">
        <v>296</v>
      </c>
      <c r="E45" s="115">
        <v>500</v>
      </c>
      <c r="F45" s="115">
        <v>500</v>
      </c>
      <c r="G45" s="115">
        <v>500</v>
      </c>
      <c r="H45" s="102"/>
      <c r="I45" s="186" t="s">
        <v>430</v>
      </c>
    </row>
    <row r="46" spans="1:18" ht="18.75" customHeight="1" x14ac:dyDescent="0.3">
      <c r="A46" s="363">
        <v>2</v>
      </c>
      <c r="B46" s="100">
        <v>852</v>
      </c>
      <c r="C46" s="100"/>
      <c r="D46" s="100">
        <v>291</v>
      </c>
      <c r="E46" s="115"/>
      <c r="F46" s="115"/>
      <c r="G46" s="115"/>
      <c r="H46" s="102"/>
      <c r="I46" s="186" t="s">
        <v>282</v>
      </c>
      <c r="R46" s="113"/>
    </row>
    <row r="47" spans="1:18" ht="18.75" customHeight="1" x14ac:dyDescent="0.3">
      <c r="A47" s="363">
        <v>2</v>
      </c>
      <c r="B47" s="100">
        <v>853</v>
      </c>
      <c r="C47" s="100"/>
      <c r="D47" s="100">
        <v>292</v>
      </c>
      <c r="E47" s="114"/>
      <c r="F47" s="114"/>
      <c r="G47" s="114"/>
      <c r="H47" s="102"/>
      <c r="I47" s="191" t="s">
        <v>283</v>
      </c>
    </row>
    <row r="48" spans="1:18" ht="18.75" customHeight="1" x14ac:dyDescent="0.3">
      <c r="A48" s="363">
        <v>2</v>
      </c>
      <c r="B48" s="100">
        <v>853</v>
      </c>
      <c r="C48" s="100"/>
      <c r="D48" s="100">
        <v>293</v>
      </c>
      <c r="E48" s="115">
        <v>3000</v>
      </c>
      <c r="F48" s="115">
        <v>3000</v>
      </c>
      <c r="G48" s="115">
        <v>3000</v>
      </c>
      <c r="H48" s="102"/>
      <c r="I48" s="191" t="s">
        <v>284</v>
      </c>
    </row>
    <row r="49" spans="1:75" ht="18.75" customHeight="1" x14ac:dyDescent="0.3">
      <c r="A49" s="363">
        <v>2</v>
      </c>
      <c r="B49" s="100">
        <v>853</v>
      </c>
      <c r="C49" s="100"/>
      <c r="D49" s="100">
        <v>295</v>
      </c>
      <c r="E49" s="114"/>
      <c r="F49" s="114"/>
      <c r="G49" s="114"/>
      <c r="H49" s="102"/>
      <c r="I49" s="191" t="s">
        <v>285</v>
      </c>
    </row>
    <row r="50" spans="1:75" ht="18.75" customHeight="1" x14ac:dyDescent="0.3">
      <c r="A50" s="363">
        <v>2</v>
      </c>
      <c r="B50" s="100">
        <v>853</v>
      </c>
      <c r="C50" s="100"/>
      <c r="D50" s="100">
        <v>296</v>
      </c>
      <c r="E50" s="115"/>
      <c r="F50" s="115"/>
      <c r="G50" s="115"/>
      <c r="H50" s="102"/>
      <c r="I50" s="191" t="s">
        <v>286</v>
      </c>
    </row>
    <row r="51" spans="1:75" ht="18.75" customHeight="1" x14ac:dyDescent="0.3">
      <c r="A51" s="363">
        <v>2</v>
      </c>
      <c r="B51" s="100">
        <v>244</v>
      </c>
      <c r="C51" s="100"/>
      <c r="D51" s="100">
        <v>310</v>
      </c>
      <c r="E51" s="115">
        <v>760000</v>
      </c>
      <c r="F51" s="115">
        <v>760000</v>
      </c>
      <c r="G51" s="115">
        <v>760000</v>
      </c>
      <c r="H51" s="102"/>
      <c r="R51" s="112"/>
      <c r="S51" s="102"/>
    </row>
    <row r="52" spans="1:75" s="117" customFormat="1" ht="18.75" customHeight="1" thickBot="1" x14ac:dyDescent="0.35">
      <c r="A52" s="366">
        <v>2</v>
      </c>
      <c r="B52" s="862" t="s">
        <v>287</v>
      </c>
      <c r="C52" s="862"/>
      <c r="D52" s="863"/>
      <c r="E52" s="326">
        <f>SUM(E3:E9,E11:E12,G173,G179)-SUM(E13:E51,G183)</f>
        <v>0</v>
      </c>
      <c r="F52" s="326">
        <f>SUM(F3:F9,F11:F12)-SUM(F13:F51)</f>
        <v>0</v>
      </c>
      <c r="G52" s="326">
        <f>SUM(G3:G9,G11:G12)-SUM(G13:G51)</f>
        <v>0</v>
      </c>
      <c r="H52" s="116"/>
      <c r="I52" s="192"/>
      <c r="J52" s="324"/>
      <c r="K52" s="324"/>
      <c r="L52" s="324"/>
      <c r="Q52" s="118"/>
      <c r="R52" s="118"/>
      <c r="S52" s="116"/>
    </row>
    <row r="53" spans="1:75" s="93" customFormat="1" ht="18.75" customHeight="1" thickBot="1" x14ac:dyDescent="0.35">
      <c r="A53" s="370">
        <v>4</v>
      </c>
      <c r="B53" s="841" t="s">
        <v>312</v>
      </c>
      <c r="C53" s="842"/>
      <c r="D53" s="842"/>
      <c r="E53" s="842"/>
      <c r="F53" s="842"/>
      <c r="G53" s="843"/>
      <c r="H53" s="99"/>
      <c r="I53" s="189"/>
      <c r="J53" s="323"/>
      <c r="K53" s="323"/>
      <c r="L53" s="323"/>
      <c r="Q53" s="144"/>
      <c r="R53" s="144"/>
      <c r="S53" s="99"/>
    </row>
    <row r="54" spans="1:75" s="93" customFormat="1" ht="18.75" customHeight="1" thickBot="1" x14ac:dyDescent="0.35">
      <c r="A54" s="370">
        <v>4</v>
      </c>
      <c r="B54" s="867">
        <v>130131</v>
      </c>
      <c r="C54" s="868"/>
      <c r="D54" s="869"/>
      <c r="E54" s="812">
        <v>80100160</v>
      </c>
      <c r="F54" s="812">
        <v>80567859</v>
      </c>
      <c r="G54" s="813">
        <v>81967038</v>
      </c>
      <c r="H54" s="99"/>
      <c r="I54" s="352" t="s">
        <v>664</v>
      </c>
      <c r="J54" s="323"/>
      <c r="K54" s="323"/>
      <c r="L54" s="323"/>
      <c r="Q54" s="144"/>
      <c r="R54" s="144"/>
      <c r="S54" s="99"/>
    </row>
    <row r="55" spans="1:75" s="93" customFormat="1" ht="18.75" customHeight="1" thickBot="1" x14ac:dyDescent="0.35">
      <c r="A55" s="370">
        <v>4</v>
      </c>
      <c r="B55" s="841" t="s">
        <v>313</v>
      </c>
      <c r="C55" s="842"/>
      <c r="D55" s="842"/>
      <c r="E55" s="842"/>
      <c r="F55" s="842"/>
      <c r="G55" s="843"/>
      <c r="H55" s="99"/>
      <c r="I55" s="189"/>
      <c r="J55" s="323"/>
      <c r="K55" s="323"/>
      <c r="L55" s="323"/>
      <c r="Q55" s="144"/>
      <c r="R55" s="144"/>
      <c r="S55" s="99"/>
    </row>
    <row r="56" spans="1:75" s="121" customFormat="1" ht="18.75" customHeight="1" x14ac:dyDescent="0.3">
      <c r="A56" s="370">
        <v>4</v>
      </c>
      <c r="B56" s="119">
        <v>111</v>
      </c>
      <c r="C56" s="119">
        <v>11561</v>
      </c>
      <c r="D56" s="119">
        <v>211</v>
      </c>
      <c r="E56" s="126">
        <f>7740851+45468716+74.54+7466.67</f>
        <v>53217108.210000001</v>
      </c>
      <c r="F56" s="126">
        <f>8052815+45620293</f>
        <v>53673108</v>
      </c>
      <c r="G56" s="126">
        <f>8377343+46384452</f>
        <v>54761795</v>
      </c>
      <c r="H56" s="99"/>
      <c r="I56" s="189" t="s">
        <v>317</v>
      </c>
      <c r="J56" s="323"/>
      <c r="K56" s="323"/>
      <c r="L56" s="323"/>
      <c r="M56" s="93"/>
      <c r="N56" s="93"/>
      <c r="O56" s="93"/>
      <c r="P56" s="179" t="s">
        <v>252</v>
      </c>
      <c r="Q56" s="132">
        <v>130</v>
      </c>
      <c r="R56" s="180">
        <f>E54</f>
        <v>80100160</v>
      </c>
      <c r="S56" s="180">
        <f>F54</f>
        <v>80567859</v>
      </c>
      <c r="T56" s="181">
        <f>G54</f>
        <v>81967038</v>
      </c>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row>
    <row r="57" spans="1:75" s="93" customFormat="1" ht="18.75" customHeight="1" x14ac:dyDescent="0.3">
      <c r="A57" s="370">
        <v>4</v>
      </c>
      <c r="B57" s="119">
        <v>111</v>
      </c>
      <c r="C57" s="119">
        <v>11561</v>
      </c>
      <c r="D57" s="119">
        <v>266</v>
      </c>
      <c r="E57" s="126"/>
      <c r="F57" s="126"/>
      <c r="G57" s="126"/>
      <c r="H57" s="99"/>
      <c r="I57" s="189" t="s">
        <v>318</v>
      </c>
      <c r="J57" s="323"/>
      <c r="K57" s="323"/>
      <c r="L57" s="323"/>
      <c r="P57" s="127">
        <v>200</v>
      </c>
      <c r="Q57" s="128"/>
      <c r="R57" s="96">
        <f>SUM(R58:R68)</f>
        <v>80570230.649999991</v>
      </c>
      <c r="S57" s="96">
        <f t="shared" ref="S57:T57" si="7">SUM(S58:S68)</f>
        <v>80567859</v>
      </c>
      <c r="T57" s="97">
        <f t="shared" si="7"/>
        <v>81967038</v>
      </c>
    </row>
    <row r="58" spans="1:75" ht="18.75" customHeight="1" x14ac:dyDescent="0.3">
      <c r="A58" s="370">
        <v>4</v>
      </c>
      <c r="B58" s="100">
        <v>112</v>
      </c>
      <c r="C58" s="100">
        <v>16561</v>
      </c>
      <c r="D58" s="100">
        <v>212</v>
      </c>
      <c r="E58" s="115"/>
      <c r="F58" s="115"/>
      <c r="G58" s="115"/>
      <c r="H58" s="101"/>
      <c r="I58" s="189" t="s">
        <v>259</v>
      </c>
      <c r="P58" s="129"/>
      <c r="Q58" s="130">
        <v>111</v>
      </c>
      <c r="R58" s="86">
        <f t="shared" ref="R58:R68" si="8">SUMIFS($E$56:$E$125,$B$56:$B$125,Q58)</f>
        <v>53217108.210000001</v>
      </c>
      <c r="S58" s="86">
        <f t="shared" ref="S58:S68" si="9">SUMIFS($F$56:$F$125,$B$56:$B$125,Q58)</f>
        <v>53673108</v>
      </c>
      <c r="T58" s="87">
        <f t="shared" ref="T58:T68" si="10">SUMIFS($G$56:$G$125,$B$56:$B$125,Q58)</f>
        <v>54761795</v>
      </c>
    </row>
    <row r="59" spans="1:75" ht="18.75" customHeight="1" x14ac:dyDescent="0.3">
      <c r="A59" s="370">
        <v>4</v>
      </c>
      <c r="B59" s="133">
        <v>112</v>
      </c>
      <c r="C59" s="133">
        <v>16561</v>
      </c>
      <c r="D59" s="133">
        <v>226</v>
      </c>
      <c r="E59" s="814"/>
      <c r="F59" s="814"/>
      <c r="G59" s="815"/>
      <c r="H59" s="101"/>
      <c r="I59" s="186" t="s">
        <v>260</v>
      </c>
      <c r="P59" s="129"/>
      <c r="Q59" s="130">
        <v>112</v>
      </c>
      <c r="R59" s="86">
        <f t="shared" si="8"/>
        <v>20158</v>
      </c>
      <c r="S59" s="86">
        <f t="shared" si="9"/>
        <v>20158</v>
      </c>
      <c r="T59" s="87">
        <f t="shared" si="10"/>
        <v>20158</v>
      </c>
    </row>
    <row r="60" spans="1:75" ht="18.75" customHeight="1" x14ac:dyDescent="0.3">
      <c r="A60" s="370">
        <v>4</v>
      </c>
      <c r="B60" s="119">
        <v>112</v>
      </c>
      <c r="C60" s="119">
        <v>16561</v>
      </c>
      <c r="D60" s="119">
        <v>226</v>
      </c>
      <c r="E60" s="816"/>
      <c r="F60" s="816"/>
      <c r="G60" s="817"/>
      <c r="H60" s="101"/>
      <c r="I60" s="186" t="s">
        <v>261</v>
      </c>
      <c r="P60" s="129"/>
      <c r="Q60" s="130">
        <v>113</v>
      </c>
      <c r="R60" s="86">
        <f t="shared" si="8"/>
        <v>0</v>
      </c>
      <c r="S60" s="86">
        <f t="shared" si="9"/>
        <v>0</v>
      </c>
      <c r="T60" s="87">
        <f t="shared" si="10"/>
        <v>0</v>
      </c>
    </row>
    <row r="61" spans="1:75" ht="18.75" customHeight="1" x14ac:dyDescent="0.3">
      <c r="A61" s="370">
        <v>4</v>
      </c>
      <c r="B61" s="119">
        <v>112</v>
      </c>
      <c r="C61" s="119">
        <v>16561</v>
      </c>
      <c r="D61" s="119">
        <v>226</v>
      </c>
      <c r="E61" s="816">
        <v>20158</v>
      </c>
      <c r="F61" s="816">
        <v>20158</v>
      </c>
      <c r="G61" s="817">
        <v>20158</v>
      </c>
      <c r="H61" s="102"/>
      <c r="I61" s="186" t="s">
        <v>262</v>
      </c>
      <c r="P61" s="129"/>
      <c r="Q61" s="130">
        <v>119</v>
      </c>
      <c r="R61" s="86">
        <f t="shared" si="8"/>
        <v>16096605.779999999</v>
      </c>
      <c r="S61" s="86">
        <f t="shared" si="9"/>
        <v>16209278</v>
      </c>
      <c r="T61" s="87">
        <f t="shared" si="10"/>
        <v>16538064</v>
      </c>
    </row>
    <row r="62" spans="1:75" ht="18.75" customHeight="1" x14ac:dyDescent="0.3">
      <c r="A62" s="370">
        <v>4</v>
      </c>
      <c r="B62" s="100">
        <v>112</v>
      </c>
      <c r="C62" s="100">
        <v>32561</v>
      </c>
      <c r="D62" s="100">
        <v>226</v>
      </c>
      <c r="E62" s="114"/>
      <c r="F62" s="114"/>
      <c r="G62" s="114"/>
      <c r="H62" s="99"/>
      <c r="I62" s="186" t="s">
        <v>262</v>
      </c>
      <c r="P62" s="129"/>
      <c r="Q62" s="130">
        <v>321</v>
      </c>
      <c r="R62" s="86">
        <f t="shared" si="8"/>
        <v>0</v>
      </c>
      <c r="S62" s="86">
        <f t="shared" si="9"/>
        <v>0</v>
      </c>
      <c r="T62" s="87">
        <f t="shared" si="10"/>
        <v>0</v>
      </c>
    </row>
    <row r="63" spans="1:75" ht="18.75" customHeight="1" x14ac:dyDescent="0.3">
      <c r="A63" s="370">
        <v>4</v>
      </c>
      <c r="B63" s="100">
        <v>119</v>
      </c>
      <c r="C63" s="100">
        <v>13561</v>
      </c>
      <c r="D63" s="100">
        <v>213</v>
      </c>
      <c r="E63" s="115">
        <f>2337672+13731553+27380.78</f>
        <v>16096605.779999999</v>
      </c>
      <c r="F63" s="115">
        <f>2431950+13777328</f>
        <v>16209278</v>
      </c>
      <c r="G63" s="115">
        <f>2529958+14008106</f>
        <v>16538064</v>
      </c>
      <c r="H63" s="102"/>
      <c r="P63" s="129"/>
      <c r="Q63" s="130">
        <v>350</v>
      </c>
      <c r="R63" s="86">
        <f t="shared" si="8"/>
        <v>0</v>
      </c>
      <c r="S63" s="86">
        <f t="shared" si="9"/>
        <v>0</v>
      </c>
      <c r="T63" s="87">
        <f t="shared" si="10"/>
        <v>0</v>
      </c>
    </row>
    <row r="64" spans="1:75" ht="18.75" customHeight="1" x14ac:dyDescent="0.3">
      <c r="A64" s="370">
        <v>4</v>
      </c>
      <c r="B64" s="100">
        <v>244</v>
      </c>
      <c r="C64" s="100">
        <v>16561</v>
      </c>
      <c r="D64" s="100">
        <v>221</v>
      </c>
      <c r="E64" s="115">
        <v>301906</v>
      </c>
      <c r="F64" s="115">
        <v>301906</v>
      </c>
      <c r="G64" s="115">
        <v>301906</v>
      </c>
      <c r="H64" s="102"/>
      <c r="I64" s="186" t="s">
        <v>319</v>
      </c>
      <c r="P64" s="129"/>
      <c r="Q64" s="130">
        <v>244</v>
      </c>
      <c r="R64" s="86">
        <f t="shared" si="8"/>
        <v>4750909.88</v>
      </c>
      <c r="S64" s="86">
        <f t="shared" si="9"/>
        <v>4383519</v>
      </c>
      <c r="T64" s="87">
        <f t="shared" si="10"/>
        <v>4187537</v>
      </c>
    </row>
    <row r="65" spans="1:20" ht="18.75" customHeight="1" x14ac:dyDescent="0.3">
      <c r="A65" s="370">
        <v>4</v>
      </c>
      <c r="B65" s="100">
        <v>244</v>
      </c>
      <c r="C65" s="100">
        <v>16561</v>
      </c>
      <c r="D65" s="100">
        <v>222</v>
      </c>
      <c r="E65" s="114">
        <v>7500</v>
      </c>
      <c r="F65" s="114">
        <v>7500</v>
      </c>
      <c r="G65" s="114">
        <v>7500</v>
      </c>
      <c r="H65" s="102"/>
      <c r="I65" s="186" t="s">
        <v>320</v>
      </c>
      <c r="P65" s="129"/>
      <c r="Q65" s="130">
        <v>247</v>
      </c>
      <c r="R65" s="86">
        <f t="shared" si="8"/>
        <v>4325258.78</v>
      </c>
      <c r="S65" s="86">
        <f t="shared" si="9"/>
        <v>4139900</v>
      </c>
      <c r="T65" s="87">
        <f t="shared" si="10"/>
        <v>4335882</v>
      </c>
    </row>
    <row r="66" spans="1:20" ht="18.75" customHeight="1" x14ac:dyDescent="0.3">
      <c r="A66" s="370">
        <v>4</v>
      </c>
      <c r="B66" s="100">
        <v>244</v>
      </c>
      <c r="C66" s="100">
        <v>14561</v>
      </c>
      <c r="D66" s="100">
        <v>223</v>
      </c>
      <c r="E66" s="115">
        <v>188444</v>
      </c>
      <c r="F66" s="115">
        <v>195982</v>
      </c>
      <c r="G66" s="115"/>
      <c r="H66" s="102"/>
      <c r="I66" s="186" t="s">
        <v>834</v>
      </c>
      <c r="P66" s="129"/>
      <c r="Q66" s="130">
        <v>851</v>
      </c>
      <c r="R66" s="86">
        <f t="shared" si="8"/>
        <v>2160190</v>
      </c>
      <c r="S66" s="86">
        <f t="shared" si="9"/>
        <v>2141896</v>
      </c>
      <c r="T66" s="87">
        <f t="shared" si="10"/>
        <v>2123602</v>
      </c>
    </row>
    <row r="67" spans="1:20" ht="18.75" customHeight="1" x14ac:dyDescent="0.3">
      <c r="A67" s="370">
        <v>4</v>
      </c>
      <c r="B67" s="820">
        <v>247</v>
      </c>
      <c r="C67" s="820">
        <v>14561</v>
      </c>
      <c r="D67" s="820">
        <v>223</v>
      </c>
      <c r="E67" s="115">
        <f>3980673+344585.78</f>
        <v>4325258.78</v>
      </c>
      <c r="F67" s="115">
        <v>4139900</v>
      </c>
      <c r="G67" s="115">
        <v>4335882</v>
      </c>
      <c r="H67" s="102"/>
      <c r="I67" s="186" t="s">
        <v>833</v>
      </c>
      <c r="P67" s="129"/>
      <c r="Q67" s="130">
        <v>852</v>
      </c>
      <c r="R67" s="86">
        <f t="shared" si="8"/>
        <v>0</v>
      </c>
      <c r="S67" s="86">
        <f t="shared" si="9"/>
        <v>0</v>
      </c>
      <c r="T67" s="87">
        <f t="shared" si="10"/>
        <v>0</v>
      </c>
    </row>
    <row r="68" spans="1:20" ht="18.75" customHeight="1" x14ac:dyDescent="0.3">
      <c r="A68" s="370">
        <v>4</v>
      </c>
      <c r="B68" s="100">
        <v>244</v>
      </c>
      <c r="C68" s="100">
        <v>14569</v>
      </c>
      <c r="D68" s="100">
        <v>223</v>
      </c>
      <c r="E68" s="115">
        <f>171394+138.23</f>
        <v>171532.23</v>
      </c>
      <c r="F68" s="115">
        <v>171394</v>
      </c>
      <c r="G68" s="115">
        <v>171394</v>
      </c>
      <c r="H68" s="102"/>
      <c r="I68" s="186" t="s">
        <v>288</v>
      </c>
      <c r="P68" s="131"/>
      <c r="Q68" s="132">
        <v>853</v>
      </c>
      <c r="R68" s="90">
        <f t="shared" si="8"/>
        <v>0</v>
      </c>
      <c r="S68" s="90">
        <f t="shared" si="9"/>
        <v>0</v>
      </c>
      <c r="T68" s="91">
        <f t="shared" si="10"/>
        <v>0</v>
      </c>
    </row>
    <row r="69" spans="1:20" ht="18.75" customHeight="1" x14ac:dyDescent="0.3">
      <c r="A69" s="370">
        <v>4</v>
      </c>
      <c r="B69" s="100">
        <v>244</v>
      </c>
      <c r="C69" s="100">
        <v>16561</v>
      </c>
      <c r="D69" s="100">
        <v>224</v>
      </c>
      <c r="E69" s="115"/>
      <c r="F69" s="115"/>
      <c r="G69" s="115"/>
      <c r="H69" s="102"/>
      <c r="I69" s="186" t="s">
        <v>264</v>
      </c>
      <c r="P69" s="135">
        <v>450</v>
      </c>
      <c r="Q69" s="136"/>
      <c r="R69" s="105">
        <f>-(G174+G180)</f>
        <v>-470070.65</v>
      </c>
      <c r="S69" s="105"/>
      <c r="T69" s="106"/>
    </row>
    <row r="70" spans="1:20" ht="18.75" customHeight="1" x14ac:dyDescent="0.3">
      <c r="A70" s="370">
        <v>4</v>
      </c>
      <c r="B70" s="100">
        <v>244</v>
      </c>
      <c r="C70" s="100">
        <v>30561</v>
      </c>
      <c r="D70" s="100">
        <v>224</v>
      </c>
      <c r="E70" s="134"/>
      <c r="F70" s="134"/>
      <c r="G70" s="134"/>
      <c r="H70" s="102"/>
      <c r="I70" s="186" t="s">
        <v>265</v>
      </c>
      <c r="P70" s="135">
        <v>500</v>
      </c>
      <c r="Q70" s="136"/>
      <c r="R70" s="105">
        <f>-R69</f>
        <v>470070.65</v>
      </c>
      <c r="S70" s="105"/>
      <c r="T70" s="106"/>
    </row>
    <row r="71" spans="1:20" ht="18.75" customHeight="1" x14ac:dyDescent="0.3">
      <c r="A71" s="370">
        <v>4</v>
      </c>
      <c r="B71" s="100">
        <v>244</v>
      </c>
      <c r="C71" s="100">
        <v>16561</v>
      </c>
      <c r="D71" s="100">
        <v>225</v>
      </c>
      <c r="E71" s="114">
        <v>410468</v>
      </c>
      <c r="F71" s="114">
        <v>410468</v>
      </c>
      <c r="G71" s="114">
        <v>410468</v>
      </c>
      <c r="H71" s="102"/>
      <c r="I71" s="194" t="s">
        <v>321</v>
      </c>
      <c r="P71" s="137">
        <v>590</v>
      </c>
      <c r="Q71" s="138"/>
      <c r="R71" s="109">
        <f>G180</f>
        <v>0</v>
      </c>
      <c r="S71" s="109"/>
      <c r="T71" s="110"/>
    </row>
    <row r="72" spans="1:20" ht="18.75" customHeight="1" x14ac:dyDescent="0.3">
      <c r="A72" s="370">
        <v>4</v>
      </c>
      <c r="B72" s="133">
        <v>244</v>
      </c>
      <c r="C72" s="133">
        <v>19561</v>
      </c>
      <c r="D72" s="133">
        <v>225</v>
      </c>
      <c r="E72" s="114">
        <v>68380</v>
      </c>
      <c r="F72" s="114">
        <v>68380</v>
      </c>
      <c r="G72" s="114">
        <v>68380</v>
      </c>
      <c r="H72" s="102"/>
      <c r="I72" s="186" t="s">
        <v>316</v>
      </c>
      <c r="P72" s="182"/>
      <c r="Q72" s="182"/>
      <c r="R72" s="83"/>
      <c r="S72" s="83"/>
      <c r="T72" s="83"/>
    </row>
    <row r="73" spans="1:20" ht="18.75" customHeight="1" x14ac:dyDescent="0.3">
      <c r="A73" s="370">
        <v>4</v>
      </c>
      <c r="B73" s="133">
        <v>244</v>
      </c>
      <c r="C73" s="133">
        <v>35561</v>
      </c>
      <c r="D73" s="133">
        <v>225</v>
      </c>
      <c r="E73" s="134">
        <f>90000+45528.61</f>
        <v>135528.60999999999</v>
      </c>
      <c r="F73" s="134">
        <v>90000</v>
      </c>
      <c r="G73" s="134">
        <v>90000</v>
      </c>
      <c r="H73" s="102"/>
      <c r="I73" s="781" t="s">
        <v>652</v>
      </c>
      <c r="J73" s="782"/>
      <c r="P73" s="182"/>
      <c r="Q73" s="182"/>
      <c r="R73" s="83"/>
      <c r="S73" s="83"/>
      <c r="T73" s="83"/>
    </row>
    <row r="74" spans="1:20" ht="18.75" customHeight="1" x14ac:dyDescent="0.3">
      <c r="A74" s="370">
        <v>4</v>
      </c>
      <c r="B74" s="133">
        <v>244</v>
      </c>
      <c r="C74" s="133">
        <v>16561</v>
      </c>
      <c r="D74" s="133">
        <v>225</v>
      </c>
      <c r="E74" s="134"/>
      <c r="F74" s="134"/>
      <c r="G74" s="134"/>
      <c r="H74" s="102"/>
      <c r="I74" s="781" t="s">
        <v>652</v>
      </c>
      <c r="J74" s="782"/>
      <c r="P74" s="182"/>
      <c r="Q74" s="182"/>
      <c r="R74" s="83"/>
      <c r="S74" s="83"/>
      <c r="T74" s="83"/>
    </row>
    <row r="75" spans="1:20" ht="18.75" customHeight="1" x14ac:dyDescent="0.3">
      <c r="A75" s="370">
        <v>4</v>
      </c>
      <c r="B75" s="100">
        <v>244</v>
      </c>
      <c r="C75" s="100">
        <v>16561</v>
      </c>
      <c r="D75" s="818">
        <v>226</v>
      </c>
      <c r="E75" s="134"/>
      <c r="F75" s="134"/>
      <c r="G75" s="134"/>
      <c r="H75" s="102"/>
      <c r="I75" s="186" t="s">
        <v>314</v>
      </c>
    </row>
    <row r="76" spans="1:20" ht="18.75" customHeight="1" x14ac:dyDescent="0.3">
      <c r="A76" s="370">
        <v>4</v>
      </c>
      <c r="B76" s="100">
        <v>244</v>
      </c>
      <c r="C76" s="100">
        <v>20561</v>
      </c>
      <c r="D76" s="100">
        <v>226</v>
      </c>
      <c r="E76" s="115"/>
      <c r="F76" s="115"/>
      <c r="G76" s="115"/>
      <c r="H76" s="102"/>
      <c r="I76" s="186" t="s">
        <v>431</v>
      </c>
    </row>
    <row r="77" spans="1:20" ht="18.75" customHeight="1" x14ac:dyDescent="0.3">
      <c r="A77" s="370">
        <v>4</v>
      </c>
      <c r="B77" s="119">
        <v>244</v>
      </c>
      <c r="C77" s="119">
        <v>30561</v>
      </c>
      <c r="D77" s="119">
        <v>226</v>
      </c>
      <c r="E77" s="819">
        <v>6364</v>
      </c>
      <c r="F77" s="819"/>
      <c r="G77" s="819"/>
      <c r="H77" s="102"/>
      <c r="I77" s="186" t="s">
        <v>267</v>
      </c>
      <c r="S77" s="102"/>
    </row>
    <row r="78" spans="1:20" ht="18.75" customHeight="1" x14ac:dyDescent="0.3">
      <c r="A78" s="370">
        <v>4</v>
      </c>
      <c r="B78" s="100">
        <v>244</v>
      </c>
      <c r="C78" s="100">
        <v>32561</v>
      </c>
      <c r="D78" s="100">
        <v>226</v>
      </c>
      <c r="E78" s="325">
        <f>110692-20158+12416.97+4841.98</f>
        <v>107792.95</v>
      </c>
      <c r="F78" s="325">
        <f>110692-20158</f>
        <v>90534</v>
      </c>
      <c r="G78" s="325">
        <v>90534</v>
      </c>
      <c r="H78" s="102"/>
      <c r="I78" s="186" t="s">
        <v>432</v>
      </c>
      <c r="P78" s="182"/>
      <c r="Q78" s="182"/>
      <c r="R78" s="83"/>
      <c r="S78" s="83"/>
      <c r="T78" s="83"/>
    </row>
    <row r="79" spans="1:20" ht="18.75" customHeight="1" x14ac:dyDescent="0.3">
      <c r="A79" s="370">
        <v>4</v>
      </c>
      <c r="B79" s="119">
        <v>244</v>
      </c>
      <c r="C79" s="119">
        <v>34561</v>
      </c>
      <c r="D79" s="119">
        <v>226</v>
      </c>
      <c r="E79" s="126">
        <v>597864</v>
      </c>
      <c r="F79" s="126">
        <v>597864</v>
      </c>
      <c r="G79" s="126">
        <v>597864</v>
      </c>
      <c r="H79" s="102"/>
      <c r="I79" s="186" t="s">
        <v>315</v>
      </c>
      <c r="P79" s="182"/>
      <c r="Q79" s="182"/>
      <c r="R79" s="83"/>
      <c r="S79" s="83"/>
      <c r="T79" s="83"/>
    </row>
    <row r="80" spans="1:20" ht="18.75" customHeight="1" x14ac:dyDescent="0.3">
      <c r="A80" s="370">
        <v>4</v>
      </c>
      <c r="B80" s="119">
        <v>244</v>
      </c>
      <c r="C80" s="119">
        <v>36561</v>
      </c>
      <c r="D80" s="119">
        <v>226</v>
      </c>
      <c r="E80" s="126">
        <v>34800</v>
      </c>
      <c r="F80" s="126">
        <v>34800</v>
      </c>
      <c r="G80" s="126">
        <v>34800</v>
      </c>
      <c r="H80" s="102"/>
      <c r="I80" s="781" t="s">
        <v>653</v>
      </c>
      <c r="J80" s="782"/>
      <c r="P80" s="182"/>
      <c r="Q80" s="182"/>
      <c r="R80" s="83"/>
      <c r="S80" s="83"/>
      <c r="T80" s="83"/>
    </row>
    <row r="81" spans="1:20" ht="18.75" customHeight="1" x14ac:dyDescent="0.3">
      <c r="A81" s="370">
        <v>4</v>
      </c>
      <c r="B81" s="119">
        <v>244</v>
      </c>
      <c r="C81" s="119">
        <v>16561</v>
      </c>
      <c r="D81" s="119">
        <v>226</v>
      </c>
      <c r="E81" s="126"/>
      <c r="F81" s="126"/>
      <c r="G81" s="126"/>
      <c r="H81" s="102"/>
      <c r="I81" s="781" t="s">
        <v>653</v>
      </c>
      <c r="J81" s="782"/>
      <c r="P81" s="182"/>
      <c r="Q81" s="182"/>
      <c r="R81" s="83"/>
      <c r="S81" s="83"/>
      <c r="T81" s="83"/>
    </row>
    <row r="82" spans="1:20" ht="18.75" customHeight="1" x14ac:dyDescent="0.3">
      <c r="A82" s="370">
        <v>4</v>
      </c>
      <c r="B82" s="119">
        <v>244</v>
      </c>
      <c r="C82" s="119" t="s">
        <v>838</v>
      </c>
      <c r="D82" s="119">
        <v>224</v>
      </c>
      <c r="E82" s="126">
        <f>233880+8000</f>
        <v>241880</v>
      </c>
      <c r="F82" s="126"/>
      <c r="G82" s="126"/>
      <c r="H82" s="102"/>
      <c r="I82" s="781"/>
      <c r="J82" s="782"/>
      <c r="P82" s="182"/>
      <c r="Q82" s="182"/>
      <c r="R82" s="83"/>
      <c r="S82" s="83"/>
      <c r="T82" s="83"/>
    </row>
    <row r="83" spans="1:20" ht="18.75" customHeight="1" x14ac:dyDescent="0.3">
      <c r="A83" s="370">
        <v>4</v>
      </c>
      <c r="B83" s="119">
        <v>244</v>
      </c>
      <c r="C83" s="119">
        <v>16561</v>
      </c>
      <c r="D83" s="119">
        <v>226</v>
      </c>
      <c r="E83" s="115">
        <f>167750+20000+13273.09</f>
        <v>201023.09</v>
      </c>
      <c r="F83" s="115">
        <f>94050+20000</f>
        <v>114050</v>
      </c>
      <c r="G83" s="115">
        <f>94050+20000</f>
        <v>114050</v>
      </c>
      <c r="H83" s="102"/>
      <c r="I83" s="194" t="s">
        <v>321</v>
      </c>
      <c r="P83" s="139"/>
      <c r="Q83" s="139"/>
      <c r="R83" s="140"/>
      <c r="S83" s="140"/>
      <c r="T83" s="140"/>
    </row>
    <row r="84" spans="1:20" ht="18.75" customHeight="1" x14ac:dyDescent="0.3">
      <c r="A84" s="370">
        <v>4</v>
      </c>
      <c r="B84" s="100">
        <v>244</v>
      </c>
      <c r="C84" s="100">
        <v>16561</v>
      </c>
      <c r="D84" s="100">
        <v>227</v>
      </c>
      <c r="E84" s="115"/>
      <c r="F84" s="115"/>
      <c r="G84" s="115"/>
      <c r="H84" s="102"/>
      <c r="I84" s="186" t="s">
        <v>270</v>
      </c>
      <c r="P84" s="139"/>
      <c r="Q84" s="139"/>
      <c r="R84" s="140"/>
      <c r="S84" s="140"/>
      <c r="T84" s="140"/>
    </row>
    <row r="85" spans="1:20" ht="18.75" customHeight="1" x14ac:dyDescent="0.3">
      <c r="A85" s="370">
        <v>4</v>
      </c>
      <c r="B85" s="100">
        <v>244</v>
      </c>
      <c r="C85" s="100">
        <v>16561</v>
      </c>
      <c r="D85" s="100">
        <v>228</v>
      </c>
      <c r="E85" s="115"/>
      <c r="F85" s="115"/>
      <c r="G85" s="115"/>
      <c r="H85" s="102"/>
      <c r="I85" s="186" t="s">
        <v>271</v>
      </c>
    </row>
    <row r="86" spans="1:20" ht="18.75" customHeight="1" x14ac:dyDescent="0.3">
      <c r="A86" s="370">
        <v>4</v>
      </c>
      <c r="B86" s="119">
        <v>244</v>
      </c>
      <c r="C86" s="119">
        <v>17561</v>
      </c>
      <c r="D86" s="119">
        <v>310</v>
      </c>
      <c r="E86" s="126">
        <v>1400000</v>
      </c>
      <c r="F86" s="126">
        <f>23214+1400000</f>
        <v>1423214</v>
      </c>
      <c r="G86" s="126">
        <f>23214+1400000</f>
        <v>1423214</v>
      </c>
      <c r="H86" s="102"/>
      <c r="I86" s="194" t="s">
        <v>321</v>
      </c>
    </row>
    <row r="87" spans="1:20" ht="18.75" customHeight="1" x14ac:dyDescent="0.3">
      <c r="A87" s="370">
        <v>4</v>
      </c>
      <c r="B87" s="119">
        <v>244</v>
      </c>
      <c r="C87" s="119">
        <v>20561</v>
      </c>
      <c r="D87" s="119">
        <v>310</v>
      </c>
      <c r="E87" s="126"/>
      <c r="F87" s="126"/>
      <c r="G87" s="126"/>
      <c r="H87" s="102"/>
      <c r="I87" s="194" t="s">
        <v>321</v>
      </c>
    </row>
    <row r="88" spans="1:20" ht="18.75" customHeight="1" x14ac:dyDescent="0.3">
      <c r="A88" s="370">
        <v>4</v>
      </c>
      <c r="B88" s="100">
        <v>244</v>
      </c>
      <c r="C88" s="100">
        <v>16561</v>
      </c>
      <c r="D88" s="100">
        <v>341</v>
      </c>
      <c r="E88" s="115"/>
      <c r="F88" s="115"/>
      <c r="G88" s="115"/>
      <c r="H88" s="102"/>
      <c r="I88" s="186" t="s">
        <v>272</v>
      </c>
      <c r="R88" s="112"/>
    </row>
    <row r="89" spans="1:20" ht="18.75" customHeight="1" x14ac:dyDescent="0.3">
      <c r="A89" s="370">
        <v>4</v>
      </c>
      <c r="B89" s="100">
        <v>244</v>
      </c>
      <c r="C89" s="100">
        <v>16561</v>
      </c>
      <c r="D89" s="100">
        <v>342</v>
      </c>
      <c r="E89" s="115"/>
      <c r="F89" s="115"/>
      <c r="G89" s="115"/>
      <c r="H89" s="102"/>
      <c r="I89" s="186" t="s">
        <v>273</v>
      </c>
    </row>
    <row r="90" spans="1:20" ht="18.75" customHeight="1" x14ac:dyDescent="0.3">
      <c r="A90" s="370">
        <v>4</v>
      </c>
      <c r="B90" s="100">
        <v>244</v>
      </c>
      <c r="C90" s="100">
        <v>16561</v>
      </c>
      <c r="D90" s="100">
        <v>343</v>
      </c>
      <c r="E90" s="115"/>
      <c r="F90" s="115"/>
      <c r="G90" s="115"/>
      <c r="H90" s="102"/>
      <c r="I90" s="186" t="s">
        <v>274</v>
      </c>
      <c r="T90" s="141"/>
    </row>
    <row r="91" spans="1:20" ht="18.75" customHeight="1" x14ac:dyDescent="0.3">
      <c r="A91" s="370">
        <v>4</v>
      </c>
      <c r="B91" s="100">
        <v>244</v>
      </c>
      <c r="C91" s="100">
        <v>16561</v>
      </c>
      <c r="D91" s="100">
        <v>344</v>
      </c>
      <c r="E91" s="115"/>
      <c r="F91" s="115"/>
      <c r="G91" s="115"/>
      <c r="H91" s="102"/>
      <c r="I91" s="186" t="s">
        <v>275</v>
      </c>
    </row>
    <row r="92" spans="1:20" ht="18.75" customHeight="1" x14ac:dyDescent="0.3">
      <c r="A92" s="370">
        <v>4</v>
      </c>
      <c r="B92" s="100">
        <v>244</v>
      </c>
      <c r="C92" s="100">
        <v>16561</v>
      </c>
      <c r="D92" s="100">
        <v>345</v>
      </c>
      <c r="E92" s="115">
        <v>20000</v>
      </c>
      <c r="F92" s="115">
        <v>20000</v>
      </c>
      <c r="G92" s="115">
        <v>20000</v>
      </c>
      <c r="H92" s="102"/>
      <c r="I92" s="186" t="s">
        <v>276</v>
      </c>
    </row>
    <row r="93" spans="1:20" ht="18.75" customHeight="1" x14ac:dyDescent="0.3">
      <c r="A93" s="370">
        <v>4</v>
      </c>
      <c r="B93" s="100">
        <v>244</v>
      </c>
      <c r="C93" s="100">
        <v>16561</v>
      </c>
      <c r="D93" s="100">
        <v>346</v>
      </c>
      <c r="E93" s="115">
        <f>237628+609799</f>
        <v>847427</v>
      </c>
      <c r="F93" s="115">
        <f>237628+609799</f>
        <v>847427</v>
      </c>
      <c r="G93" s="115">
        <f>237628+609799</f>
        <v>847427</v>
      </c>
      <c r="H93" s="102"/>
      <c r="I93" s="186" t="s">
        <v>277</v>
      </c>
    </row>
    <row r="94" spans="1:20" ht="18.75" customHeight="1" x14ac:dyDescent="0.3">
      <c r="A94" s="370">
        <v>4</v>
      </c>
      <c r="B94" s="100">
        <v>244</v>
      </c>
      <c r="C94" s="100">
        <v>16561</v>
      </c>
      <c r="D94" s="100">
        <v>347</v>
      </c>
      <c r="E94" s="115"/>
      <c r="F94" s="115"/>
      <c r="G94" s="115"/>
      <c r="H94" s="102"/>
      <c r="I94" s="186" t="s">
        <v>278</v>
      </c>
    </row>
    <row r="95" spans="1:20" ht="18.75" customHeight="1" x14ac:dyDescent="0.3">
      <c r="A95" s="370">
        <v>4</v>
      </c>
      <c r="B95" s="100">
        <v>244</v>
      </c>
      <c r="C95" s="100">
        <v>16561</v>
      </c>
      <c r="D95" s="100">
        <v>349</v>
      </c>
      <c r="E95" s="115">
        <v>10000</v>
      </c>
      <c r="F95" s="115">
        <v>10000</v>
      </c>
      <c r="G95" s="115">
        <v>10000</v>
      </c>
      <c r="H95" s="102"/>
      <c r="I95" s="186" t="s">
        <v>279</v>
      </c>
      <c r="S95" s="102"/>
    </row>
    <row r="96" spans="1:20" ht="18.75" customHeight="1" x14ac:dyDescent="0.3">
      <c r="A96" s="370">
        <v>4</v>
      </c>
      <c r="B96" s="100">
        <v>244</v>
      </c>
      <c r="C96" s="100">
        <v>16561</v>
      </c>
      <c r="D96" s="100">
        <v>350</v>
      </c>
      <c r="E96" s="814"/>
      <c r="F96" s="814"/>
      <c r="G96" s="815"/>
      <c r="H96" s="102"/>
      <c r="I96" s="186" t="s">
        <v>836</v>
      </c>
      <c r="S96" s="102"/>
    </row>
    <row r="97" spans="1:18" ht="18.75" customHeight="1" x14ac:dyDescent="0.3">
      <c r="A97" s="370">
        <v>4</v>
      </c>
      <c r="B97" s="133">
        <v>321</v>
      </c>
      <c r="C97" s="133">
        <v>15561</v>
      </c>
      <c r="D97" s="133">
        <v>262</v>
      </c>
      <c r="E97" s="142"/>
      <c r="F97" s="142"/>
      <c r="G97" s="143"/>
      <c r="H97" s="102"/>
      <c r="I97" s="186" t="s">
        <v>289</v>
      </c>
    </row>
    <row r="98" spans="1:18" ht="18.75" customHeight="1" x14ac:dyDescent="0.3">
      <c r="A98" s="370">
        <v>4</v>
      </c>
      <c r="B98" s="133">
        <v>321</v>
      </c>
      <c r="C98" s="133">
        <v>16561</v>
      </c>
      <c r="D98" s="133">
        <v>265</v>
      </c>
      <c r="E98" s="142"/>
      <c r="F98" s="142"/>
      <c r="G98" s="143"/>
      <c r="H98" s="102"/>
      <c r="I98" s="186" t="s">
        <v>280</v>
      </c>
    </row>
    <row r="99" spans="1:18" ht="18.75" customHeight="1" x14ac:dyDescent="0.3">
      <c r="A99" s="370">
        <v>4</v>
      </c>
      <c r="B99" s="119">
        <v>321</v>
      </c>
      <c r="C99" s="119">
        <v>16561</v>
      </c>
      <c r="D99" s="119">
        <v>264</v>
      </c>
      <c r="E99" s="810"/>
      <c r="F99" s="810"/>
      <c r="G99" s="811"/>
      <c r="H99" s="102"/>
      <c r="I99" s="186" t="s">
        <v>281</v>
      </c>
    </row>
    <row r="100" spans="1:18" ht="18.75" customHeight="1" x14ac:dyDescent="0.3">
      <c r="A100" s="370">
        <v>4</v>
      </c>
      <c r="B100" s="100">
        <v>350</v>
      </c>
      <c r="C100" s="100">
        <v>16561</v>
      </c>
      <c r="D100" s="100">
        <v>296</v>
      </c>
      <c r="E100" s="114"/>
      <c r="F100" s="114"/>
      <c r="G100" s="114"/>
      <c r="H100" s="102"/>
      <c r="I100" s="186" t="s">
        <v>290</v>
      </c>
    </row>
    <row r="101" spans="1:18" ht="18.75" customHeight="1" x14ac:dyDescent="0.3">
      <c r="A101" s="370">
        <v>4</v>
      </c>
      <c r="B101" s="100">
        <v>851</v>
      </c>
      <c r="C101" s="100">
        <v>16995</v>
      </c>
      <c r="D101" s="100">
        <v>291</v>
      </c>
      <c r="E101" s="115">
        <v>565196</v>
      </c>
      <c r="F101" s="115">
        <v>546902</v>
      </c>
      <c r="G101" s="115">
        <v>528608</v>
      </c>
      <c r="H101" s="102"/>
      <c r="I101" s="186" t="s">
        <v>291</v>
      </c>
    </row>
    <row r="102" spans="1:18" ht="18.75" customHeight="1" x14ac:dyDescent="0.3">
      <c r="A102" s="370">
        <v>4</v>
      </c>
      <c r="B102" s="100">
        <v>851</v>
      </c>
      <c r="C102" s="100">
        <v>16996</v>
      </c>
      <c r="D102" s="100">
        <v>291</v>
      </c>
      <c r="E102" s="115">
        <v>1594994</v>
      </c>
      <c r="F102" s="115">
        <v>1594994</v>
      </c>
      <c r="G102" s="115">
        <v>1594994</v>
      </c>
      <c r="H102" s="102"/>
      <c r="I102" s="186" t="s">
        <v>292</v>
      </c>
    </row>
    <row r="103" spans="1:18" ht="18.75" customHeight="1" x14ac:dyDescent="0.3">
      <c r="A103" s="370">
        <v>4</v>
      </c>
      <c r="B103" s="100">
        <v>852</v>
      </c>
      <c r="C103" s="100">
        <v>16561</v>
      </c>
      <c r="D103" s="100">
        <v>291</v>
      </c>
      <c r="E103" s="115"/>
      <c r="F103" s="115"/>
      <c r="G103" s="115"/>
      <c r="H103" s="102"/>
      <c r="I103" s="186" t="s">
        <v>282</v>
      </c>
    </row>
    <row r="104" spans="1:18" ht="18.75" customHeight="1" x14ac:dyDescent="0.3">
      <c r="A104" s="370">
        <v>4</v>
      </c>
      <c r="B104" s="100">
        <v>853</v>
      </c>
      <c r="C104" s="100">
        <v>16561</v>
      </c>
      <c r="D104" s="100">
        <v>292</v>
      </c>
      <c r="E104" s="114"/>
      <c r="F104" s="114"/>
      <c r="G104" s="114"/>
      <c r="H104" s="102"/>
      <c r="I104" s="191" t="s">
        <v>283</v>
      </c>
    </row>
    <row r="105" spans="1:18" ht="18.75" customHeight="1" x14ac:dyDescent="0.3">
      <c r="A105" s="370">
        <v>4</v>
      </c>
      <c r="B105" s="100">
        <v>853</v>
      </c>
      <c r="C105" s="100">
        <v>16561</v>
      </c>
      <c r="D105" s="100">
        <v>293</v>
      </c>
      <c r="E105" s="115"/>
      <c r="F105" s="115"/>
      <c r="G105" s="115"/>
      <c r="H105" s="102"/>
      <c r="I105" s="191" t="s">
        <v>284</v>
      </c>
    </row>
    <row r="106" spans="1:18" s="93" customFormat="1" ht="18.75" customHeight="1" x14ac:dyDescent="0.3">
      <c r="A106" s="368">
        <v>4</v>
      </c>
      <c r="B106" s="100">
        <v>853</v>
      </c>
      <c r="C106" s="100">
        <v>16561</v>
      </c>
      <c r="D106" s="100">
        <v>295</v>
      </c>
      <c r="E106" s="114"/>
      <c r="F106" s="114"/>
      <c r="G106" s="114"/>
      <c r="H106" s="99"/>
      <c r="I106" s="191" t="s">
        <v>285</v>
      </c>
      <c r="J106" s="323"/>
      <c r="K106" s="323"/>
      <c r="L106" s="323"/>
      <c r="Q106" s="144"/>
      <c r="R106" s="144"/>
    </row>
    <row r="107" spans="1:18" s="93" customFormat="1" ht="18.75" customHeight="1" thickBot="1" x14ac:dyDescent="0.35">
      <c r="A107" s="371">
        <v>4</v>
      </c>
      <c r="B107" s="133">
        <v>853</v>
      </c>
      <c r="C107" s="133">
        <v>16561</v>
      </c>
      <c r="D107" s="133">
        <v>296</v>
      </c>
      <c r="E107" s="156"/>
      <c r="F107" s="156"/>
      <c r="G107" s="156"/>
      <c r="H107" s="99"/>
      <c r="I107" s="190" t="s">
        <v>286</v>
      </c>
      <c r="J107" s="323"/>
      <c r="K107" s="323"/>
      <c r="L107" s="323"/>
      <c r="Q107" s="144"/>
      <c r="R107" s="144"/>
    </row>
    <row r="108" spans="1:18" s="93" customFormat="1" ht="18.75" customHeight="1" thickTop="1" x14ac:dyDescent="0.3">
      <c r="A108" s="367">
        <v>4</v>
      </c>
      <c r="B108" s="98">
        <v>112</v>
      </c>
      <c r="C108" s="98">
        <v>31561</v>
      </c>
      <c r="D108" s="98">
        <v>212</v>
      </c>
      <c r="E108" s="806"/>
      <c r="F108" s="806"/>
      <c r="G108" s="806"/>
      <c r="H108" s="99"/>
      <c r="I108" s="190" t="s">
        <v>259</v>
      </c>
      <c r="J108" s="323"/>
      <c r="K108" s="323"/>
      <c r="L108" s="323"/>
      <c r="Q108" s="144"/>
      <c r="R108" s="144"/>
    </row>
    <row r="109" spans="1:18" s="93" customFormat="1" ht="18.75" customHeight="1" x14ac:dyDescent="0.3">
      <c r="A109" s="368">
        <v>4</v>
      </c>
      <c r="B109" s="100">
        <v>112</v>
      </c>
      <c r="C109" s="100">
        <v>31561</v>
      </c>
      <c r="D109" s="100">
        <v>226</v>
      </c>
      <c r="E109" s="115"/>
      <c r="F109" s="115"/>
      <c r="G109" s="115"/>
      <c r="H109" s="99"/>
      <c r="I109" s="190" t="s">
        <v>260</v>
      </c>
      <c r="J109" s="323"/>
      <c r="K109" s="323"/>
      <c r="L109" s="323"/>
      <c r="Q109" s="144"/>
      <c r="R109" s="144"/>
    </row>
    <row r="110" spans="1:18" s="93" customFormat="1" ht="18.75" customHeight="1" x14ac:dyDescent="0.3">
      <c r="A110" s="368">
        <v>4</v>
      </c>
      <c r="B110" s="100">
        <v>113</v>
      </c>
      <c r="C110" s="100">
        <v>31561</v>
      </c>
      <c r="D110" s="100">
        <v>226</v>
      </c>
      <c r="E110" s="115"/>
      <c r="F110" s="115"/>
      <c r="G110" s="115"/>
      <c r="H110" s="99"/>
      <c r="I110" s="190" t="s">
        <v>263</v>
      </c>
      <c r="J110" s="323"/>
      <c r="K110" s="323"/>
      <c r="L110" s="323"/>
      <c r="Q110" s="144"/>
      <c r="R110" s="144"/>
    </row>
    <row r="111" spans="1:18" s="93" customFormat="1" ht="18.75" customHeight="1" x14ac:dyDescent="0.3">
      <c r="A111" s="368">
        <v>4</v>
      </c>
      <c r="B111" s="100">
        <v>244</v>
      </c>
      <c r="C111" s="100">
        <v>31561</v>
      </c>
      <c r="D111" s="100">
        <v>222</v>
      </c>
      <c r="E111" s="115"/>
      <c r="F111" s="115"/>
      <c r="G111" s="115"/>
      <c r="H111" s="99"/>
      <c r="I111" s="190"/>
      <c r="J111" s="323"/>
      <c r="K111" s="323"/>
      <c r="L111" s="323"/>
      <c r="Q111" s="144"/>
      <c r="R111" s="144"/>
    </row>
    <row r="112" spans="1:18" s="93" customFormat="1" ht="18.75" customHeight="1" x14ac:dyDescent="0.3">
      <c r="A112" s="368">
        <v>4</v>
      </c>
      <c r="B112" s="100">
        <v>244</v>
      </c>
      <c r="C112" s="100">
        <v>31561</v>
      </c>
      <c r="D112" s="100">
        <v>224</v>
      </c>
      <c r="E112" s="115"/>
      <c r="F112" s="115"/>
      <c r="G112" s="115"/>
      <c r="H112" s="99"/>
      <c r="I112" s="190" t="s">
        <v>293</v>
      </c>
      <c r="J112" s="323"/>
      <c r="K112" s="323"/>
      <c r="L112" s="323"/>
      <c r="Q112" s="144"/>
      <c r="R112" s="144"/>
    </row>
    <row r="113" spans="1:109" s="93" customFormat="1" ht="18.75" customHeight="1" x14ac:dyDescent="0.3">
      <c r="A113" s="368">
        <v>4</v>
      </c>
      <c r="B113" s="100">
        <v>244</v>
      </c>
      <c r="C113" s="100">
        <v>31561</v>
      </c>
      <c r="D113" s="100">
        <v>226</v>
      </c>
      <c r="E113" s="115"/>
      <c r="F113" s="115"/>
      <c r="G113" s="115"/>
      <c r="H113" s="99"/>
      <c r="I113" s="190" t="s">
        <v>294</v>
      </c>
      <c r="J113" s="323"/>
      <c r="K113" s="323"/>
      <c r="L113" s="323"/>
      <c r="Q113" s="144"/>
      <c r="R113" s="144"/>
    </row>
    <row r="114" spans="1:109" s="93" customFormat="1" ht="18.75" customHeight="1" x14ac:dyDescent="0.3">
      <c r="A114" s="368">
        <v>4</v>
      </c>
      <c r="B114" s="100">
        <v>244</v>
      </c>
      <c r="C114" s="100">
        <v>31561</v>
      </c>
      <c r="D114" s="100">
        <v>227</v>
      </c>
      <c r="E114" s="115"/>
      <c r="F114" s="115"/>
      <c r="G114" s="115"/>
      <c r="H114" s="145"/>
      <c r="I114" s="186" t="s">
        <v>270</v>
      </c>
      <c r="J114" s="323"/>
      <c r="K114" s="323"/>
      <c r="L114" s="323"/>
      <c r="Q114" s="144"/>
      <c r="R114" s="144"/>
    </row>
    <row r="115" spans="1:109" s="93" customFormat="1" ht="18.75" customHeight="1" x14ac:dyDescent="0.3">
      <c r="A115" s="368">
        <v>4</v>
      </c>
      <c r="B115" s="100">
        <v>244</v>
      </c>
      <c r="C115" s="100">
        <v>31561</v>
      </c>
      <c r="D115" s="100">
        <v>228</v>
      </c>
      <c r="E115" s="115"/>
      <c r="F115" s="115"/>
      <c r="G115" s="115"/>
      <c r="H115" s="99"/>
      <c r="I115" s="186" t="s">
        <v>271</v>
      </c>
      <c r="J115" s="323"/>
      <c r="K115" s="323"/>
      <c r="L115" s="323"/>
      <c r="Q115" s="144"/>
      <c r="R115" s="144"/>
    </row>
    <row r="116" spans="1:109" s="93" customFormat="1" ht="18.75" customHeight="1" x14ac:dyDescent="0.3">
      <c r="A116" s="368">
        <v>4</v>
      </c>
      <c r="B116" s="100">
        <v>244</v>
      </c>
      <c r="C116" s="100">
        <v>31561</v>
      </c>
      <c r="D116" s="119">
        <v>310</v>
      </c>
      <c r="E116" s="115"/>
      <c r="F116" s="115"/>
      <c r="G116" s="115"/>
      <c r="H116" s="99"/>
      <c r="I116" s="190"/>
      <c r="J116" s="323"/>
      <c r="K116" s="739"/>
      <c r="L116" s="323"/>
      <c r="Q116" s="144"/>
      <c r="R116" s="144"/>
    </row>
    <row r="117" spans="1:109" s="93" customFormat="1" ht="18.75" customHeight="1" x14ac:dyDescent="0.3">
      <c r="A117" s="368">
        <v>4</v>
      </c>
      <c r="B117" s="100">
        <v>244</v>
      </c>
      <c r="C117" s="100">
        <v>31561</v>
      </c>
      <c r="D117" s="100">
        <v>341</v>
      </c>
      <c r="E117" s="115"/>
      <c r="F117" s="115"/>
      <c r="G117" s="115"/>
      <c r="H117" s="99"/>
      <c r="I117" s="186" t="s">
        <v>272</v>
      </c>
      <c r="J117" s="323"/>
      <c r="K117" s="323"/>
      <c r="L117" s="323"/>
      <c r="Q117" s="144"/>
      <c r="R117" s="144"/>
    </row>
    <row r="118" spans="1:109" s="93" customFormat="1" ht="18.75" customHeight="1" x14ac:dyDescent="0.3">
      <c r="A118" s="368">
        <v>4</v>
      </c>
      <c r="B118" s="100">
        <v>244</v>
      </c>
      <c r="C118" s="100">
        <v>31561</v>
      </c>
      <c r="D118" s="100">
        <v>342</v>
      </c>
      <c r="E118" s="115"/>
      <c r="F118" s="115"/>
      <c r="G118" s="115"/>
      <c r="H118" s="99"/>
      <c r="I118" s="186" t="s">
        <v>273</v>
      </c>
      <c r="J118" s="323"/>
      <c r="K118" s="323"/>
      <c r="L118" s="323"/>
      <c r="Q118" s="144"/>
      <c r="R118" s="144"/>
    </row>
    <row r="119" spans="1:109" s="93" customFormat="1" ht="18.75" customHeight="1" x14ac:dyDescent="0.3">
      <c r="A119" s="368">
        <v>4</v>
      </c>
      <c r="B119" s="100">
        <v>244</v>
      </c>
      <c r="C119" s="100">
        <v>31561</v>
      </c>
      <c r="D119" s="100">
        <v>343</v>
      </c>
      <c r="E119" s="115"/>
      <c r="F119" s="115"/>
      <c r="G119" s="115"/>
      <c r="H119" s="99"/>
      <c r="I119" s="186" t="s">
        <v>274</v>
      </c>
      <c r="J119" s="323"/>
      <c r="K119" s="323"/>
      <c r="L119" s="323"/>
      <c r="Q119" s="144"/>
      <c r="R119" s="144"/>
    </row>
    <row r="120" spans="1:109" s="93" customFormat="1" ht="18.75" customHeight="1" x14ac:dyDescent="0.3">
      <c r="A120" s="368">
        <v>4</v>
      </c>
      <c r="B120" s="100">
        <v>244</v>
      </c>
      <c r="C120" s="100">
        <v>31561</v>
      </c>
      <c r="D120" s="100">
        <v>344</v>
      </c>
      <c r="E120" s="115"/>
      <c r="F120" s="115"/>
      <c r="G120" s="115"/>
      <c r="H120" s="99"/>
      <c r="I120" s="186" t="s">
        <v>275</v>
      </c>
      <c r="J120" s="323"/>
      <c r="K120" s="323"/>
      <c r="L120" s="323"/>
      <c r="Q120" s="144"/>
      <c r="R120" s="144"/>
    </row>
    <row r="121" spans="1:109" s="93" customFormat="1" ht="18.75" customHeight="1" x14ac:dyDescent="0.3">
      <c r="A121" s="368">
        <v>4</v>
      </c>
      <c r="B121" s="100">
        <v>244</v>
      </c>
      <c r="C121" s="100">
        <v>31561</v>
      </c>
      <c r="D121" s="100">
        <v>345</v>
      </c>
      <c r="E121" s="115"/>
      <c r="F121" s="115"/>
      <c r="G121" s="115"/>
      <c r="H121" s="99"/>
      <c r="I121" s="186" t="s">
        <v>276</v>
      </c>
      <c r="J121" s="323"/>
      <c r="K121" s="323"/>
      <c r="L121" s="323"/>
      <c r="Q121" s="144"/>
      <c r="R121" s="144"/>
    </row>
    <row r="122" spans="1:109" s="93" customFormat="1" ht="18.75" customHeight="1" x14ac:dyDescent="0.3">
      <c r="A122" s="368">
        <v>4</v>
      </c>
      <c r="B122" s="100">
        <v>244</v>
      </c>
      <c r="C122" s="100">
        <v>31561</v>
      </c>
      <c r="D122" s="100">
        <v>346</v>
      </c>
      <c r="E122" s="115"/>
      <c r="F122" s="115"/>
      <c r="G122" s="115"/>
      <c r="H122" s="99"/>
      <c r="I122" s="186" t="s">
        <v>277</v>
      </c>
      <c r="J122" s="323"/>
      <c r="K122" s="323"/>
      <c r="L122" s="323"/>
      <c r="Q122" s="144"/>
      <c r="R122" s="144"/>
    </row>
    <row r="123" spans="1:109" s="93" customFormat="1" ht="18.75" customHeight="1" x14ac:dyDescent="0.3">
      <c r="A123" s="368">
        <v>4</v>
      </c>
      <c r="B123" s="100">
        <v>244</v>
      </c>
      <c r="C123" s="100">
        <v>31561</v>
      </c>
      <c r="D123" s="100">
        <v>347</v>
      </c>
      <c r="E123" s="115"/>
      <c r="F123" s="115"/>
      <c r="G123" s="115"/>
      <c r="H123" s="99"/>
      <c r="I123" s="186" t="s">
        <v>278</v>
      </c>
      <c r="J123" s="323"/>
      <c r="K123" s="323"/>
      <c r="L123" s="323"/>
      <c r="Q123" s="144"/>
      <c r="R123" s="144"/>
    </row>
    <row r="124" spans="1:109" s="117" customFormat="1" ht="18.75" customHeight="1" thickBot="1" x14ac:dyDescent="0.35">
      <c r="A124" s="368">
        <v>4</v>
      </c>
      <c r="B124" s="100">
        <v>244</v>
      </c>
      <c r="C124" s="100">
        <v>31561</v>
      </c>
      <c r="D124" s="100">
        <v>349</v>
      </c>
      <c r="E124" s="115"/>
      <c r="F124" s="115"/>
      <c r="G124" s="115"/>
      <c r="H124" s="99"/>
      <c r="I124" s="189" t="s">
        <v>279</v>
      </c>
      <c r="J124" s="323"/>
      <c r="K124" s="323"/>
      <c r="L124" s="323"/>
      <c r="M124" s="93"/>
      <c r="N124" s="93"/>
      <c r="O124" s="93"/>
      <c r="P124" s="93"/>
      <c r="Q124" s="144"/>
      <c r="R124" s="144"/>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row>
    <row r="125" spans="1:109" s="93" customFormat="1" ht="18.75" customHeight="1" x14ac:dyDescent="0.3">
      <c r="A125" s="368">
        <v>4</v>
      </c>
      <c r="B125" s="100">
        <v>244</v>
      </c>
      <c r="C125" s="100">
        <v>66562</v>
      </c>
      <c r="D125" s="100">
        <v>226</v>
      </c>
      <c r="E125" s="115"/>
      <c r="F125" s="115"/>
      <c r="G125" s="115"/>
      <c r="H125" s="99"/>
      <c r="I125" s="189"/>
      <c r="J125" s="323"/>
      <c r="K125" s="323"/>
      <c r="L125" s="323"/>
      <c r="Q125" s="144"/>
      <c r="R125" s="144"/>
      <c r="S125" s="99"/>
    </row>
    <row r="126" spans="1:109" s="117" customFormat="1" ht="18.75" customHeight="1" thickBot="1" x14ac:dyDescent="0.35">
      <c r="A126" s="369">
        <v>4</v>
      </c>
      <c r="B126" s="862" t="s">
        <v>287</v>
      </c>
      <c r="C126" s="862"/>
      <c r="D126" s="863"/>
      <c r="E126" s="326">
        <f>E54-SUM(E56:E125)+G174+G180-G184</f>
        <v>-5.9371814131736755E-9</v>
      </c>
      <c r="F126" s="326">
        <f>F54-SUM(F56:F125)</f>
        <v>0</v>
      </c>
      <c r="G126" s="326">
        <f>G54-SUM(G56:G125)</f>
        <v>0</v>
      </c>
      <c r="H126" s="116"/>
      <c r="I126" s="192"/>
      <c r="J126" s="324"/>
      <c r="K126" s="324"/>
      <c r="L126" s="324"/>
      <c r="Q126" s="118"/>
      <c r="R126" s="118"/>
      <c r="S126" s="116"/>
    </row>
    <row r="127" spans="1:109" s="93" customFormat="1" ht="18.75" customHeight="1" thickBot="1" x14ac:dyDescent="0.35">
      <c r="A127" s="372">
        <v>5</v>
      </c>
      <c r="B127" s="864" t="s">
        <v>312</v>
      </c>
      <c r="C127" s="865"/>
      <c r="D127" s="865"/>
      <c r="E127" s="865"/>
      <c r="F127" s="865"/>
      <c r="G127" s="866"/>
      <c r="H127" s="99"/>
      <c r="I127" s="189"/>
      <c r="J127" s="323"/>
      <c r="K127" s="323"/>
      <c r="L127" s="323"/>
      <c r="Q127" s="144"/>
      <c r="R127" s="144"/>
      <c r="S127" s="99"/>
    </row>
    <row r="128" spans="1:109" s="93" customFormat="1" ht="18.75" customHeight="1" thickBot="1" x14ac:dyDescent="0.35">
      <c r="A128" s="372">
        <v>5</v>
      </c>
      <c r="B128" s="867">
        <v>150152</v>
      </c>
      <c r="C128" s="868"/>
      <c r="D128" s="869"/>
      <c r="E128" s="812">
        <v>6686498</v>
      </c>
      <c r="F128" s="812">
        <v>6761498</v>
      </c>
      <c r="G128" s="812">
        <v>6761498</v>
      </c>
      <c r="H128" s="99"/>
      <c r="I128" s="189"/>
      <c r="J128" s="323"/>
      <c r="K128" s="323"/>
      <c r="L128" s="323"/>
      <c r="Q128" s="144"/>
      <c r="R128" s="144"/>
      <c r="S128" s="99"/>
    </row>
    <row r="129" spans="1:20" s="149" customFormat="1" ht="18.75" customHeight="1" thickBot="1" x14ac:dyDescent="0.35">
      <c r="A129" s="372">
        <v>5</v>
      </c>
      <c r="B129" s="841" t="s">
        <v>313</v>
      </c>
      <c r="C129" s="842"/>
      <c r="D129" s="842"/>
      <c r="E129" s="842"/>
      <c r="F129" s="842"/>
      <c r="G129" s="843"/>
      <c r="H129" s="148"/>
      <c r="I129" s="193"/>
      <c r="J129" s="327"/>
      <c r="K129" s="327"/>
      <c r="L129" s="327"/>
      <c r="P129" s="122" t="s">
        <v>252</v>
      </c>
      <c r="Q129" s="123">
        <v>150</v>
      </c>
      <c r="R129" s="124">
        <f>E128</f>
        <v>6686498</v>
      </c>
      <c r="S129" s="124">
        <f>F128</f>
        <v>6761498</v>
      </c>
      <c r="T129" s="125">
        <f>G128</f>
        <v>6761498</v>
      </c>
    </row>
    <row r="130" spans="1:20" s="93" customFormat="1" ht="18.75" customHeight="1" x14ac:dyDescent="0.3">
      <c r="A130" s="372">
        <v>5</v>
      </c>
      <c r="B130" s="146">
        <v>111</v>
      </c>
      <c r="C130" s="146"/>
      <c r="D130" s="147">
        <v>211</v>
      </c>
      <c r="E130" s="120">
        <v>3981376.39</v>
      </c>
      <c r="F130" s="120">
        <v>3914736</v>
      </c>
      <c r="G130" s="120">
        <v>3914736</v>
      </c>
      <c r="H130" s="99"/>
      <c r="I130" s="189"/>
      <c r="J130" s="323"/>
      <c r="K130" s="323"/>
      <c r="L130" s="323"/>
      <c r="P130" s="127">
        <v>200</v>
      </c>
      <c r="Q130" s="128"/>
      <c r="R130" s="96">
        <f>SUM(R131:R140)</f>
        <v>6781473.0199999996</v>
      </c>
      <c r="S130" s="96">
        <f>SUM(S131:S140)</f>
        <v>6761498</v>
      </c>
      <c r="T130" s="97">
        <f>SUM(T131:T140)</f>
        <v>6761498</v>
      </c>
    </row>
    <row r="131" spans="1:20" ht="18.75" customHeight="1" x14ac:dyDescent="0.3">
      <c r="A131" s="372">
        <v>5</v>
      </c>
      <c r="B131" s="100">
        <v>112</v>
      </c>
      <c r="C131" s="100">
        <v>956180</v>
      </c>
      <c r="D131" s="100">
        <v>212</v>
      </c>
      <c r="E131" s="115"/>
      <c r="F131" s="115"/>
      <c r="G131" s="115"/>
      <c r="H131" s="102"/>
      <c r="I131" s="189" t="s">
        <v>259</v>
      </c>
      <c r="P131" s="150"/>
      <c r="Q131" s="130">
        <v>111</v>
      </c>
      <c r="R131" s="86">
        <f t="shared" ref="R131:R140" si="11">SUMIFS($E$130:$E$157,$B$130:$B$157,Q131)</f>
        <v>3981376.39</v>
      </c>
      <c r="S131" s="86">
        <f t="shared" ref="S131:S140" si="12">SUMIFS($F$130:$F$157,$B$130:$B$157,Q131)</f>
        <v>3914736</v>
      </c>
      <c r="T131" s="87">
        <f t="shared" ref="T131:T140" si="13">SUMIFS($G$130:$G$157,$B$130:$B$157,Q131)</f>
        <v>3914736</v>
      </c>
    </row>
    <row r="132" spans="1:20" ht="18.75" customHeight="1" x14ac:dyDescent="0.3">
      <c r="A132" s="372">
        <v>5</v>
      </c>
      <c r="B132" s="100">
        <v>112</v>
      </c>
      <c r="C132" s="100">
        <v>956260</v>
      </c>
      <c r="D132" s="100">
        <v>212</v>
      </c>
      <c r="E132" s="114">
        <v>114648</v>
      </c>
      <c r="F132" s="114">
        <v>114648</v>
      </c>
      <c r="G132" s="114">
        <v>114648</v>
      </c>
      <c r="H132" s="102"/>
      <c r="I132" s="186" t="s">
        <v>295</v>
      </c>
      <c r="P132" s="150"/>
      <c r="Q132" s="130">
        <v>112</v>
      </c>
      <c r="R132" s="86">
        <f t="shared" si="11"/>
        <v>1156056.6299999999</v>
      </c>
      <c r="S132" s="86">
        <f t="shared" si="12"/>
        <v>1155570</v>
      </c>
      <c r="T132" s="87">
        <f t="shared" si="13"/>
        <v>1155570</v>
      </c>
    </row>
    <row r="133" spans="1:20" ht="18.75" customHeight="1" x14ac:dyDescent="0.3">
      <c r="A133" s="372">
        <v>5</v>
      </c>
      <c r="B133" s="100">
        <v>112</v>
      </c>
      <c r="C133" s="100">
        <v>956080</v>
      </c>
      <c r="D133" s="100">
        <v>214</v>
      </c>
      <c r="E133" s="114">
        <v>1041408.63</v>
      </c>
      <c r="F133" s="114">
        <v>1040922</v>
      </c>
      <c r="G133" s="114">
        <v>1040922</v>
      </c>
      <c r="H133" s="102"/>
      <c r="I133" s="186" t="s">
        <v>296</v>
      </c>
      <c r="P133" s="150"/>
      <c r="Q133" s="130">
        <v>113</v>
      </c>
      <c r="R133" s="86">
        <f t="shared" si="11"/>
        <v>27848</v>
      </c>
      <c r="S133" s="86">
        <f t="shared" si="12"/>
        <v>0</v>
      </c>
      <c r="T133" s="87">
        <f t="shared" si="13"/>
        <v>0</v>
      </c>
    </row>
    <row r="134" spans="1:20" ht="18.75" customHeight="1" x14ac:dyDescent="0.3">
      <c r="A134" s="372">
        <v>5</v>
      </c>
      <c r="B134" s="100">
        <v>112</v>
      </c>
      <c r="C134" s="100">
        <v>956180</v>
      </c>
      <c r="D134" s="100">
        <v>226</v>
      </c>
      <c r="E134" s="114"/>
      <c r="F134" s="114"/>
      <c r="G134" s="114"/>
      <c r="H134" s="102"/>
      <c r="I134" s="186" t="s">
        <v>260</v>
      </c>
      <c r="P134" s="150"/>
      <c r="Q134" s="130">
        <v>119</v>
      </c>
      <c r="R134" s="86">
        <f t="shared" si="11"/>
        <v>1116192</v>
      </c>
      <c r="S134" s="86">
        <f t="shared" si="12"/>
        <v>1116192</v>
      </c>
      <c r="T134" s="87">
        <f t="shared" si="13"/>
        <v>1116192</v>
      </c>
    </row>
    <row r="135" spans="1:20" ht="18.75" customHeight="1" x14ac:dyDescent="0.3">
      <c r="A135" s="372">
        <v>5</v>
      </c>
      <c r="B135" s="100">
        <v>112</v>
      </c>
      <c r="C135" s="100">
        <v>956350</v>
      </c>
      <c r="D135" s="100">
        <v>266</v>
      </c>
      <c r="E135" s="114"/>
      <c r="F135" s="114"/>
      <c r="G135" s="114"/>
      <c r="H135" s="102"/>
      <c r="I135" s="186" t="s">
        <v>297</v>
      </c>
      <c r="P135" s="150"/>
      <c r="Q135" s="130">
        <v>321</v>
      </c>
      <c r="R135" s="86">
        <f t="shared" si="11"/>
        <v>0</v>
      </c>
      <c r="S135" s="86">
        <f t="shared" si="12"/>
        <v>0</v>
      </c>
      <c r="T135" s="87">
        <f t="shared" si="13"/>
        <v>0</v>
      </c>
    </row>
    <row r="136" spans="1:20" ht="18.75" customHeight="1" x14ac:dyDescent="0.3">
      <c r="A136" s="372">
        <v>5</v>
      </c>
      <c r="B136" s="100">
        <v>113</v>
      </c>
      <c r="C136" s="100">
        <v>956180</v>
      </c>
      <c r="D136" s="100">
        <v>226</v>
      </c>
      <c r="E136" s="114">
        <v>27848</v>
      </c>
      <c r="F136" s="114"/>
      <c r="G136" s="114"/>
      <c r="H136" s="102"/>
      <c r="I136" s="186" t="s">
        <v>298</v>
      </c>
      <c r="P136" s="150"/>
      <c r="Q136" s="130">
        <v>350</v>
      </c>
      <c r="R136" s="86">
        <f t="shared" si="11"/>
        <v>0</v>
      </c>
      <c r="S136" s="86">
        <f t="shared" si="12"/>
        <v>0</v>
      </c>
      <c r="T136" s="87">
        <f t="shared" si="13"/>
        <v>0</v>
      </c>
    </row>
    <row r="137" spans="1:20" ht="18.75" customHeight="1" x14ac:dyDescent="0.3">
      <c r="A137" s="372">
        <v>5</v>
      </c>
      <c r="B137" s="100">
        <v>119</v>
      </c>
      <c r="C137" s="100"/>
      <c r="D137" s="100">
        <v>213</v>
      </c>
      <c r="E137" s="115">
        <v>1116192</v>
      </c>
      <c r="F137" s="115">
        <v>1116192</v>
      </c>
      <c r="G137" s="115">
        <v>1116192</v>
      </c>
      <c r="H137" s="102"/>
      <c r="P137" s="150"/>
      <c r="Q137" s="130">
        <v>244</v>
      </c>
      <c r="R137" s="86">
        <f t="shared" si="11"/>
        <v>500000</v>
      </c>
      <c r="S137" s="86">
        <f t="shared" si="12"/>
        <v>575000</v>
      </c>
      <c r="T137" s="87">
        <f t="shared" si="13"/>
        <v>575000</v>
      </c>
    </row>
    <row r="138" spans="1:20" ht="18.75" customHeight="1" x14ac:dyDescent="0.3">
      <c r="A138" s="372">
        <v>5</v>
      </c>
      <c r="B138" s="100">
        <v>119</v>
      </c>
      <c r="C138" s="100"/>
      <c r="D138" s="291" t="s">
        <v>438</v>
      </c>
      <c r="E138" s="115"/>
      <c r="F138" s="115"/>
      <c r="G138" s="115"/>
      <c r="H138" s="102"/>
      <c r="I138" s="186" t="s">
        <v>437</v>
      </c>
      <c r="P138" s="150"/>
      <c r="Q138" s="130">
        <v>851</v>
      </c>
      <c r="R138" s="86">
        <f t="shared" si="11"/>
        <v>0</v>
      </c>
      <c r="S138" s="86">
        <f t="shared" si="12"/>
        <v>0</v>
      </c>
      <c r="T138" s="87">
        <f t="shared" si="13"/>
        <v>0</v>
      </c>
    </row>
    <row r="139" spans="1:20" ht="18.75" customHeight="1" x14ac:dyDescent="0.3">
      <c r="A139" s="372">
        <v>5</v>
      </c>
      <c r="B139" s="100">
        <v>244</v>
      </c>
      <c r="C139" s="100"/>
      <c r="D139" s="100">
        <v>222</v>
      </c>
      <c r="E139" s="115"/>
      <c r="F139" s="115"/>
      <c r="G139" s="115"/>
      <c r="H139" s="102"/>
      <c r="P139" s="150"/>
      <c r="Q139" s="130">
        <v>852</v>
      </c>
      <c r="R139" s="86">
        <f t="shared" si="11"/>
        <v>0</v>
      </c>
      <c r="S139" s="86">
        <f t="shared" si="12"/>
        <v>0</v>
      </c>
      <c r="T139" s="87">
        <f t="shared" si="13"/>
        <v>0</v>
      </c>
    </row>
    <row r="140" spans="1:20" ht="18.75" customHeight="1" x14ac:dyDescent="0.3">
      <c r="A140" s="372">
        <v>5</v>
      </c>
      <c r="B140" s="100">
        <v>244</v>
      </c>
      <c r="C140" s="100"/>
      <c r="D140" s="100">
        <v>224</v>
      </c>
      <c r="E140" s="115"/>
      <c r="F140" s="115"/>
      <c r="G140" s="115"/>
      <c r="H140" s="102"/>
      <c r="I140" s="186" t="s">
        <v>265</v>
      </c>
      <c r="P140" s="151"/>
      <c r="Q140" s="132">
        <v>853</v>
      </c>
      <c r="R140" s="90">
        <f t="shared" si="11"/>
        <v>0</v>
      </c>
      <c r="S140" s="90">
        <f t="shared" si="12"/>
        <v>0</v>
      </c>
      <c r="T140" s="91">
        <f t="shared" si="13"/>
        <v>0</v>
      </c>
    </row>
    <row r="141" spans="1:20" ht="18.75" customHeight="1" x14ac:dyDescent="0.3">
      <c r="A141" s="372">
        <v>5</v>
      </c>
      <c r="B141" s="100">
        <v>244</v>
      </c>
      <c r="C141" s="100"/>
      <c r="D141" s="100">
        <v>225</v>
      </c>
      <c r="E141" s="114"/>
      <c r="F141" s="114"/>
      <c r="G141" s="114"/>
      <c r="H141" s="102"/>
      <c r="P141" s="135">
        <v>450</v>
      </c>
      <c r="Q141" s="152"/>
      <c r="R141" s="105">
        <f>-(G175+G181)</f>
        <v>-94975.02</v>
      </c>
      <c r="S141" s="105"/>
      <c r="T141" s="106"/>
    </row>
    <row r="142" spans="1:20" ht="18.75" customHeight="1" x14ac:dyDescent="0.3">
      <c r="A142" s="372">
        <v>5</v>
      </c>
      <c r="B142" s="100">
        <v>244</v>
      </c>
      <c r="C142" s="100">
        <v>956180</v>
      </c>
      <c r="D142" s="100">
        <v>226</v>
      </c>
      <c r="E142" s="114">
        <v>200000</v>
      </c>
      <c r="F142" s="114">
        <v>200000</v>
      </c>
      <c r="G142" s="114">
        <v>200000</v>
      </c>
      <c r="H142" s="102"/>
      <c r="I142" s="186" t="s">
        <v>299</v>
      </c>
      <c r="P142" s="135"/>
      <c r="Q142" s="152"/>
      <c r="R142" s="105"/>
      <c r="S142" s="105"/>
      <c r="T142" s="106"/>
    </row>
    <row r="143" spans="1:20" ht="18.75" customHeight="1" x14ac:dyDescent="0.3">
      <c r="A143" s="372">
        <v>5</v>
      </c>
      <c r="B143" s="100">
        <v>244</v>
      </c>
      <c r="C143" s="100"/>
      <c r="D143" s="100">
        <v>226</v>
      </c>
      <c r="E143" s="115"/>
      <c r="F143" s="115"/>
      <c r="G143" s="115"/>
      <c r="H143" s="102"/>
      <c r="P143" s="135">
        <v>500</v>
      </c>
      <c r="Q143" s="152"/>
      <c r="R143" s="105">
        <f>-R141</f>
        <v>94975.02</v>
      </c>
      <c r="S143" s="105"/>
      <c r="T143" s="106"/>
    </row>
    <row r="144" spans="1:20" ht="18.75" customHeight="1" x14ac:dyDescent="0.3">
      <c r="A144" s="372">
        <v>5</v>
      </c>
      <c r="B144" s="100">
        <v>244</v>
      </c>
      <c r="C144" s="100"/>
      <c r="D144" s="100">
        <v>228</v>
      </c>
      <c r="E144" s="115"/>
      <c r="F144" s="115"/>
      <c r="G144" s="114"/>
      <c r="H144" s="102"/>
      <c r="I144" s="186" t="s">
        <v>271</v>
      </c>
      <c r="P144" s="137">
        <v>590</v>
      </c>
      <c r="Q144" s="153"/>
      <c r="R144" s="109">
        <f>G181</f>
        <v>0</v>
      </c>
      <c r="S144" s="109"/>
      <c r="T144" s="110"/>
    </row>
    <row r="145" spans="1:19" ht="18.75" customHeight="1" x14ac:dyDescent="0.3">
      <c r="A145" s="372">
        <v>5</v>
      </c>
      <c r="B145" s="100">
        <v>244</v>
      </c>
      <c r="C145" s="100">
        <v>956100</v>
      </c>
      <c r="D145" s="100">
        <v>310</v>
      </c>
      <c r="E145" s="114"/>
      <c r="F145" s="114"/>
      <c r="G145" s="114"/>
      <c r="H145" s="102"/>
      <c r="Q145" s="80"/>
      <c r="R145" s="80"/>
    </row>
    <row r="146" spans="1:19" ht="18.75" customHeight="1" x14ac:dyDescent="0.3">
      <c r="A146" s="372">
        <v>5</v>
      </c>
      <c r="B146" s="100">
        <v>244</v>
      </c>
      <c r="C146" s="100"/>
      <c r="D146" s="100">
        <v>341</v>
      </c>
      <c r="E146" s="115"/>
      <c r="F146" s="115"/>
      <c r="G146" s="115"/>
      <c r="H146" s="102"/>
      <c r="I146" s="186" t="s">
        <v>272</v>
      </c>
    </row>
    <row r="147" spans="1:19" ht="18.75" customHeight="1" x14ac:dyDescent="0.3">
      <c r="A147" s="372">
        <v>5</v>
      </c>
      <c r="B147" s="100">
        <v>244</v>
      </c>
      <c r="C147" s="100"/>
      <c r="D147" s="100">
        <v>342</v>
      </c>
      <c r="E147" s="115"/>
      <c r="F147" s="115"/>
      <c r="G147" s="115"/>
      <c r="H147" s="102"/>
      <c r="I147" s="186" t="s">
        <v>273</v>
      </c>
    </row>
    <row r="148" spans="1:19" ht="18.75" customHeight="1" x14ac:dyDescent="0.3">
      <c r="A148" s="372">
        <v>5</v>
      </c>
      <c r="B148" s="100">
        <v>244</v>
      </c>
      <c r="C148" s="100"/>
      <c r="D148" s="100">
        <v>343</v>
      </c>
      <c r="E148" s="115"/>
      <c r="F148" s="115"/>
      <c r="G148" s="115"/>
      <c r="H148" s="102"/>
      <c r="I148" s="186" t="s">
        <v>274</v>
      </c>
      <c r="P148" s="154"/>
      <c r="Q148" s="154"/>
      <c r="R148" s="155"/>
      <c r="S148" s="102"/>
    </row>
    <row r="149" spans="1:19" ht="18.75" customHeight="1" x14ac:dyDescent="0.3">
      <c r="A149" s="372">
        <v>5</v>
      </c>
      <c r="B149" s="100">
        <v>244</v>
      </c>
      <c r="C149" s="100"/>
      <c r="D149" s="100">
        <v>344</v>
      </c>
      <c r="E149" s="115"/>
      <c r="F149" s="115">
        <v>75000</v>
      </c>
      <c r="G149" s="115">
        <v>75000</v>
      </c>
      <c r="H149" s="102"/>
      <c r="I149" s="186" t="s">
        <v>275</v>
      </c>
      <c r="P149" s="154"/>
      <c r="Q149" s="154"/>
      <c r="R149" s="102"/>
      <c r="S149" s="102"/>
    </row>
    <row r="150" spans="1:19" ht="18.75" customHeight="1" x14ac:dyDescent="0.3">
      <c r="A150" s="372">
        <v>5</v>
      </c>
      <c r="B150" s="100">
        <v>244</v>
      </c>
      <c r="C150" s="100"/>
      <c r="D150" s="100">
        <v>345</v>
      </c>
      <c r="E150" s="115"/>
      <c r="F150" s="115"/>
      <c r="G150" s="115"/>
      <c r="H150" s="102"/>
      <c r="I150" s="186" t="s">
        <v>276</v>
      </c>
      <c r="P150" s="154"/>
      <c r="Q150" s="154"/>
      <c r="R150" s="102"/>
      <c r="S150" s="102"/>
    </row>
    <row r="151" spans="1:19" ht="18.75" customHeight="1" x14ac:dyDescent="0.3">
      <c r="A151" s="372">
        <v>5</v>
      </c>
      <c r="B151" s="100">
        <v>244</v>
      </c>
      <c r="C151" s="100"/>
      <c r="D151" s="100">
        <v>346</v>
      </c>
      <c r="E151" s="115"/>
      <c r="F151" s="115"/>
      <c r="G151" s="115"/>
      <c r="H151" s="102"/>
      <c r="I151" s="186" t="s">
        <v>277</v>
      </c>
      <c r="P151" s="154"/>
      <c r="Q151" s="154"/>
      <c r="R151" s="155"/>
      <c r="S151" s="102"/>
    </row>
    <row r="152" spans="1:19" ht="18.75" customHeight="1" x14ac:dyDescent="0.3">
      <c r="A152" s="372">
        <v>5</v>
      </c>
      <c r="B152" s="100">
        <v>244</v>
      </c>
      <c r="C152" s="100"/>
      <c r="D152" s="100">
        <v>347</v>
      </c>
      <c r="E152" s="115"/>
      <c r="F152" s="115"/>
      <c r="G152" s="115"/>
      <c r="H152" s="102"/>
      <c r="I152" s="186" t="s">
        <v>278</v>
      </c>
      <c r="P152" s="154"/>
      <c r="Q152" s="154"/>
      <c r="R152" s="155"/>
      <c r="S152" s="102"/>
    </row>
    <row r="153" spans="1:19" ht="18.75" customHeight="1" x14ac:dyDescent="0.3">
      <c r="A153" s="372">
        <v>5</v>
      </c>
      <c r="B153" s="133">
        <v>244</v>
      </c>
      <c r="C153" s="133"/>
      <c r="D153" s="133">
        <v>349</v>
      </c>
      <c r="E153" s="156">
        <v>300000</v>
      </c>
      <c r="F153" s="156">
        <v>300000</v>
      </c>
      <c r="G153" s="156">
        <v>300000</v>
      </c>
      <c r="H153" s="102"/>
      <c r="I153" s="186" t="s">
        <v>279</v>
      </c>
      <c r="S153" s="102"/>
    </row>
    <row r="154" spans="1:19" ht="18.75" customHeight="1" x14ac:dyDescent="0.3">
      <c r="A154" s="372">
        <v>5</v>
      </c>
      <c r="B154" s="133">
        <v>244</v>
      </c>
      <c r="C154" s="133"/>
      <c r="D154" s="133">
        <v>350</v>
      </c>
      <c r="E154" s="814"/>
      <c r="F154" s="814"/>
      <c r="G154" s="815"/>
      <c r="H154" s="102"/>
      <c r="I154" s="186" t="s">
        <v>836</v>
      </c>
      <c r="S154" s="102"/>
    </row>
    <row r="155" spans="1:19" ht="18.75" customHeight="1" x14ac:dyDescent="0.3">
      <c r="A155" s="372">
        <v>5</v>
      </c>
      <c r="B155" s="133">
        <v>321</v>
      </c>
      <c r="C155" s="133"/>
      <c r="D155" s="133">
        <v>264</v>
      </c>
      <c r="E155" s="814"/>
      <c r="F155" s="814"/>
      <c r="G155" s="815"/>
      <c r="H155" s="102"/>
      <c r="I155" s="186" t="s">
        <v>280</v>
      </c>
      <c r="S155" s="102"/>
    </row>
    <row r="156" spans="1:19" ht="18.75" customHeight="1" x14ac:dyDescent="0.3">
      <c r="A156" s="372">
        <v>5</v>
      </c>
      <c r="B156" s="119">
        <v>321</v>
      </c>
      <c r="C156" s="119"/>
      <c r="D156" s="119">
        <v>264</v>
      </c>
      <c r="E156" s="816"/>
      <c r="F156" s="816"/>
      <c r="G156" s="817"/>
      <c r="H156" s="102"/>
      <c r="I156" s="186" t="s">
        <v>281</v>
      </c>
      <c r="S156" s="102"/>
    </row>
    <row r="157" spans="1:19" s="117" customFormat="1" ht="18.75" customHeight="1" thickBot="1" x14ac:dyDescent="0.35">
      <c r="A157" s="783">
        <v>5</v>
      </c>
      <c r="B157" s="157">
        <v>350</v>
      </c>
      <c r="C157" s="157"/>
      <c r="D157" s="157">
        <v>296</v>
      </c>
      <c r="E157" s="158"/>
      <c r="F157" s="158"/>
      <c r="G157" s="158"/>
      <c r="H157" s="116"/>
      <c r="I157" s="192" t="s">
        <v>290</v>
      </c>
      <c r="J157" s="324"/>
      <c r="K157" s="324"/>
      <c r="L157" s="324"/>
      <c r="Q157" s="118"/>
      <c r="R157" s="118"/>
      <c r="S157" s="116"/>
    </row>
    <row r="158" spans="1:19" ht="19.5" thickBot="1" x14ac:dyDescent="0.35">
      <c r="A158" s="372">
        <v>5</v>
      </c>
      <c r="B158" s="862" t="s">
        <v>287</v>
      </c>
      <c r="C158" s="862"/>
      <c r="D158" s="863"/>
      <c r="E158" s="326">
        <f>SUM(E128,G175,G181)-SUM(E130:E157,G185)</f>
        <v>0</v>
      </c>
      <c r="F158" s="326">
        <f>SUM(F128)-SUM(F130:F157)</f>
        <v>0</v>
      </c>
      <c r="G158" s="326">
        <f>SUM(G128)-SUM(G130:G157)</f>
        <v>0</v>
      </c>
    </row>
    <row r="159" spans="1:19" ht="24" customHeight="1" x14ac:dyDescent="0.3">
      <c r="E159" s="93"/>
      <c r="F159" s="93"/>
      <c r="G159" s="93"/>
      <c r="H159" s="79"/>
      <c r="I159" s="322"/>
      <c r="N159" s="159"/>
      <c r="O159" s="159"/>
      <c r="P159" s="159"/>
    </row>
    <row r="160" spans="1:19" ht="24.75" customHeight="1" x14ac:dyDescent="0.3">
      <c r="B160" s="847" t="s">
        <v>20</v>
      </c>
      <c r="C160" s="848"/>
      <c r="D160" s="848"/>
      <c r="E160" s="849" t="s">
        <v>844</v>
      </c>
      <c r="F160" s="850"/>
      <c r="G160" s="851"/>
      <c r="H160" s="79"/>
      <c r="I160" s="830"/>
      <c r="J160" s="830"/>
      <c r="K160" s="830"/>
      <c r="L160" s="830"/>
      <c r="N160" s="159"/>
      <c r="O160" s="159"/>
      <c r="P160" s="159"/>
    </row>
    <row r="161" spans="2:18" ht="24.75" customHeight="1" x14ac:dyDescent="0.3">
      <c r="B161" s="852" t="s">
        <v>300</v>
      </c>
      <c r="C161" s="853"/>
      <c r="D161" s="853"/>
      <c r="E161" s="854" t="s">
        <v>845</v>
      </c>
      <c r="F161" s="855"/>
      <c r="G161" s="856"/>
      <c r="H161" s="79"/>
      <c r="I161" s="830"/>
      <c r="J161" s="830"/>
      <c r="K161" s="830"/>
      <c r="L161" s="830"/>
      <c r="N161" s="159"/>
      <c r="O161" s="159"/>
      <c r="P161" s="159"/>
    </row>
    <row r="162" spans="2:18" ht="24.75" customHeight="1" x14ac:dyDescent="0.3">
      <c r="B162" s="857" t="s">
        <v>301</v>
      </c>
      <c r="C162" s="858"/>
      <c r="D162" s="858"/>
      <c r="E162" s="859" t="s">
        <v>843</v>
      </c>
      <c r="F162" s="860"/>
      <c r="G162" s="861"/>
      <c r="H162" s="79"/>
      <c r="I162" s="830"/>
      <c r="J162" s="830"/>
      <c r="K162" s="830"/>
      <c r="L162" s="830"/>
    </row>
    <row r="163" spans="2:18" ht="38.25" customHeight="1" x14ac:dyDescent="0.25">
      <c r="J163" s="829"/>
      <c r="K163" s="829"/>
      <c r="L163" s="829"/>
    </row>
    <row r="164" spans="2:18" ht="36" customHeight="1" x14ac:dyDescent="0.25">
      <c r="B164" s="844" t="s">
        <v>302</v>
      </c>
      <c r="C164" s="845"/>
      <c r="D164" s="846"/>
      <c r="E164" s="686" t="s">
        <v>814</v>
      </c>
      <c r="F164" s="686" t="s">
        <v>670</v>
      </c>
      <c r="G164" s="685"/>
      <c r="I164" s="186" t="s">
        <v>813</v>
      </c>
      <c r="J164" s="829"/>
      <c r="K164" s="829"/>
      <c r="L164" s="829"/>
      <c r="R164" s="112"/>
    </row>
    <row r="165" spans="2:18" ht="36" customHeight="1" x14ac:dyDescent="0.25">
      <c r="B165" s="837" t="s">
        <v>303</v>
      </c>
      <c r="C165" s="838"/>
      <c r="D165" s="838"/>
      <c r="E165" s="160">
        <v>5</v>
      </c>
      <c r="F165" s="161">
        <v>5388.5</v>
      </c>
      <c r="G165" s="162"/>
      <c r="J165" s="829"/>
      <c r="K165" s="829"/>
      <c r="L165" s="829"/>
    </row>
    <row r="166" spans="2:18" ht="36" customHeight="1" x14ac:dyDescent="0.25">
      <c r="B166" s="837" t="s">
        <v>304</v>
      </c>
      <c r="C166" s="838"/>
      <c r="D166" s="838"/>
      <c r="E166" s="160">
        <v>55.8</v>
      </c>
      <c r="F166" s="161">
        <v>32527.8</v>
      </c>
      <c r="G166" s="162"/>
      <c r="J166" s="829"/>
      <c r="K166" s="829"/>
      <c r="L166" s="829"/>
    </row>
    <row r="167" spans="2:18" ht="36" customHeight="1" x14ac:dyDescent="0.25">
      <c r="B167" s="837" t="s">
        <v>547</v>
      </c>
      <c r="C167" s="838"/>
      <c r="D167" s="838"/>
      <c r="E167" s="160">
        <v>0</v>
      </c>
      <c r="F167" s="161">
        <v>0</v>
      </c>
      <c r="G167" s="162"/>
      <c r="J167" s="829"/>
      <c r="K167" s="829"/>
      <c r="L167" s="829"/>
    </row>
    <row r="168" spans="2:18" ht="37.5" customHeight="1" x14ac:dyDescent="0.25">
      <c r="B168" s="870" t="s">
        <v>305</v>
      </c>
      <c r="C168" s="871"/>
      <c r="D168" s="871"/>
      <c r="E168" s="163">
        <v>19.7</v>
      </c>
      <c r="F168" s="164">
        <v>7028.4</v>
      </c>
      <c r="G168" s="165"/>
      <c r="J168" s="829"/>
      <c r="K168" s="829"/>
      <c r="L168" s="829"/>
    </row>
    <row r="169" spans="2:18" ht="37.5" customHeight="1" x14ac:dyDescent="0.25">
      <c r="B169" s="870" t="s">
        <v>492</v>
      </c>
      <c r="C169" s="871"/>
      <c r="D169" s="871"/>
      <c r="E169" s="163">
        <f>SUM(E165:E168)</f>
        <v>80.5</v>
      </c>
      <c r="F169" s="164">
        <f>SUM(F165:F168)</f>
        <v>44944.700000000004</v>
      </c>
      <c r="G169" s="165"/>
      <c r="J169" s="829"/>
      <c r="K169" s="829"/>
      <c r="L169" s="829"/>
    </row>
    <row r="170" spans="2:18" ht="15" customHeight="1" x14ac:dyDescent="0.25">
      <c r="B170" s="166"/>
      <c r="C170" s="166"/>
      <c r="D170" s="166"/>
      <c r="E170" s="167"/>
      <c r="F170" s="141"/>
      <c r="G170" s="141"/>
      <c r="J170" s="829"/>
      <c r="K170" s="829"/>
      <c r="L170" s="829"/>
    </row>
    <row r="171" spans="2:18" ht="42" customHeight="1" x14ac:dyDescent="0.25">
      <c r="B171" s="872" t="s">
        <v>306</v>
      </c>
      <c r="C171" s="873"/>
      <c r="D171" s="873"/>
      <c r="E171" s="168">
        <v>0</v>
      </c>
      <c r="F171" s="168">
        <f>E171</f>
        <v>0</v>
      </c>
      <c r="G171" s="169">
        <f>E171</f>
        <v>0</v>
      </c>
      <c r="J171" s="829"/>
      <c r="K171" s="829"/>
      <c r="L171" s="829"/>
    </row>
    <row r="172" spans="2:18" ht="18.75" customHeight="1" x14ac:dyDescent="0.25">
      <c r="B172" s="166"/>
      <c r="C172" s="166"/>
      <c r="D172" s="166"/>
      <c r="E172" s="167"/>
      <c r="F172" s="141"/>
      <c r="G172" s="141"/>
      <c r="J172" s="829"/>
      <c r="K172" s="829"/>
      <c r="L172" s="829"/>
    </row>
    <row r="173" spans="2:18" ht="18.75" x14ac:dyDescent="0.25">
      <c r="B173" s="831" t="s">
        <v>307</v>
      </c>
      <c r="C173" s="832"/>
      <c r="D173" s="832"/>
      <c r="E173" s="832"/>
      <c r="F173" s="292" t="s">
        <v>308</v>
      </c>
      <c r="G173" s="170">
        <v>3714.69</v>
      </c>
      <c r="I173" s="80"/>
      <c r="J173" s="80"/>
      <c r="K173" s="80"/>
      <c r="L173" s="80"/>
      <c r="Q173" s="80"/>
      <c r="R173" s="80"/>
    </row>
    <row r="174" spans="2:18" ht="18.75" x14ac:dyDescent="0.25">
      <c r="B174" s="833"/>
      <c r="C174" s="834"/>
      <c r="D174" s="834"/>
      <c r="E174" s="834"/>
      <c r="F174" s="825" t="s">
        <v>309</v>
      </c>
      <c r="G174" s="171">
        <v>470070.65</v>
      </c>
      <c r="I174" s="80"/>
      <c r="J174" s="80"/>
      <c r="K174" s="80"/>
      <c r="L174" s="80"/>
      <c r="Q174" s="80"/>
      <c r="R174" s="80"/>
    </row>
    <row r="175" spans="2:18" ht="15.6" customHeight="1" x14ac:dyDescent="0.25">
      <c r="B175" s="835"/>
      <c r="C175" s="836"/>
      <c r="D175" s="836"/>
      <c r="E175" s="836"/>
      <c r="F175" s="826" t="s">
        <v>310</v>
      </c>
      <c r="G175" s="172">
        <v>94975.02</v>
      </c>
      <c r="I175" s="80"/>
      <c r="J175" s="80"/>
      <c r="K175" s="80"/>
      <c r="L175" s="80"/>
      <c r="Q175" s="80"/>
      <c r="R175" s="80"/>
    </row>
    <row r="176" spans="2:18" ht="17.25" customHeight="1" x14ac:dyDescent="0.25">
      <c r="B176" s="166"/>
      <c r="C176" s="166"/>
      <c r="D176" s="166"/>
      <c r="E176" s="173"/>
      <c r="I176" s="80"/>
      <c r="J176" s="80"/>
      <c r="K176" s="80"/>
      <c r="L176" s="80"/>
      <c r="Q176" s="80"/>
      <c r="R176" s="80"/>
    </row>
    <row r="177" spans="2:18" ht="54" customHeight="1" x14ac:dyDescent="0.25">
      <c r="B177" s="874" t="s">
        <v>311</v>
      </c>
      <c r="C177" s="875"/>
      <c r="D177" s="876"/>
      <c r="E177" s="316">
        <v>85932</v>
      </c>
      <c r="F177" s="316"/>
      <c r="G177" s="293"/>
      <c r="I177" s="80"/>
      <c r="J177" s="80"/>
      <c r="K177" s="80"/>
      <c r="L177" s="80"/>
      <c r="Q177" s="80"/>
      <c r="R177" s="80"/>
    </row>
    <row r="178" spans="2:18" ht="18.75" customHeight="1" x14ac:dyDescent="0.25">
      <c r="B178" s="166"/>
      <c r="C178" s="166"/>
      <c r="D178" s="166"/>
      <c r="E178" s="173"/>
      <c r="I178" s="80"/>
      <c r="J178" s="80"/>
      <c r="K178" s="80"/>
      <c r="L178" s="80"/>
      <c r="Q178" s="80"/>
      <c r="R178" s="80"/>
    </row>
    <row r="179" spans="2:18" ht="18.75" x14ac:dyDescent="0.25">
      <c r="B179" s="831" t="s">
        <v>654</v>
      </c>
      <c r="C179" s="832"/>
      <c r="D179" s="832"/>
      <c r="E179" s="832"/>
      <c r="F179" s="292" t="s">
        <v>308</v>
      </c>
      <c r="G179" s="170"/>
      <c r="I179" s="80"/>
      <c r="J179" s="80"/>
      <c r="K179" s="80"/>
      <c r="L179" s="80"/>
      <c r="Q179" s="80"/>
      <c r="R179" s="80"/>
    </row>
    <row r="180" spans="2:18" ht="18.75" x14ac:dyDescent="0.25">
      <c r="B180" s="833"/>
      <c r="C180" s="834"/>
      <c r="D180" s="834"/>
      <c r="E180" s="834"/>
      <c r="F180" s="825" t="s">
        <v>309</v>
      </c>
      <c r="G180" s="171"/>
      <c r="I180" s="80"/>
      <c r="J180" s="80"/>
      <c r="K180" s="80"/>
      <c r="L180" s="80"/>
      <c r="Q180" s="80"/>
      <c r="R180" s="80"/>
    </row>
    <row r="181" spans="2:18" ht="18.75" x14ac:dyDescent="0.25">
      <c r="B181" s="835"/>
      <c r="C181" s="836"/>
      <c r="D181" s="836"/>
      <c r="E181" s="836"/>
      <c r="F181" s="826" t="s">
        <v>310</v>
      </c>
      <c r="G181" s="172"/>
      <c r="J181" s="829"/>
      <c r="K181" s="829"/>
      <c r="L181" s="829"/>
    </row>
    <row r="182" spans="2:18" ht="18.75" customHeight="1" x14ac:dyDescent="0.25">
      <c r="I182" s="80"/>
      <c r="J182" s="80"/>
      <c r="K182" s="80"/>
      <c r="L182" s="80"/>
      <c r="Q182" s="80"/>
      <c r="R182" s="80"/>
    </row>
    <row r="183" spans="2:18" ht="18.75" x14ac:dyDescent="0.25">
      <c r="B183" s="831" t="s">
        <v>655</v>
      </c>
      <c r="C183" s="832"/>
      <c r="D183" s="832"/>
      <c r="E183" s="832"/>
      <c r="F183" s="292" t="s">
        <v>308</v>
      </c>
      <c r="G183" s="170"/>
      <c r="I183" s="80"/>
      <c r="J183" s="80"/>
      <c r="K183" s="80"/>
      <c r="L183" s="80"/>
      <c r="Q183" s="80"/>
      <c r="R183" s="80"/>
    </row>
    <row r="184" spans="2:18" ht="18.75" x14ac:dyDescent="0.25">
      <c r="B184" s="833"/>
      <c r="C184" s="834"/>
      <c r="D184" s="834"/>
      <c r="E184" s="834"/>
      <c r="F184" s="825" t="s">
        <v>309</v>
      </c>
      <c r="G184" s="171"/>
      <c r="I184" s="80"/>
      <c r="J184" s="80"/>
      <c r="K184" s="80"/>
      <c r="L184" s="80"/>
      <c r="Q184" s="80"/>
      <c r="R184" s="80"/>
    </row>
    <row r="185" spans="2:18" ht="18.75" x14ac:dyDescent="0.25">
      <c r="B185" s="835"/>
      <c r="C185" s="836"/>
      <c r="D185" s="836"/>
      <c r="E185" s="836"/>
      <c r="F185" s="826" t="s">
        <v>310</v>
      </c>
      <c r="G185" s="172"/>
      <c r="J185" s="829"/>
      <c r="K185" s="829"/>
      <c r="L185" s="829"/>
    </row>
    <row r="186" spans="2:18" ht="15.6" customHeight="1" x14ac:dyDescent="0.25">
      <c r="I186" s="80"/>
      <c r="J186" s="80"/>
      <c r="K186" s="80"/>
      <c r="L186" s="80"/>
      <c r="Q186" s="80"/>
      <c r="R186" s="80"/>
    </row>
    <row r="187" spans="2:18" x14ac:dyDescent="0.25">
      <c r="E187" s="141"/>
    </row>
  </sheetData>
  <mergeCells count="38">
    <mergeCell ref="B177:D177"/>
    <mergeCell ref="B158:D158"/>
    <mergeCell ref="B6:D6"/>
    <mergeCell ref="B1:D1"/>
    <mergeCell ref="B2:D2"/>
    <mergeCell ref="B3:D3"/>
    <mergeCell ref="B4:D4"/>
    <mergeCell ref="B5:D5"/>
    <mergeCell ref="B9:D9"/>
    <mergeCell ref="B10:D10"/>
    <mergeCell ref="B11:D11"/>
    <mergeCell ref="B12:D12"/>
    <mergeCell ref="B52:D52"/>
    <mergeCell ref="B54:D54"/>
    <mergeCell ref="B7:D7"/>
    <mergeCell ref="B129:G129"/>
    <mergeCell ref="B165:D165"/>
    <mergeCell ref="B166:D166"/>
    <mergeCell ref="B168:D168"/>
    <mergeCell ref="B171:D171"/>
    <mergeCell ref="B173:E175"/>
    <mergeCell ref="B169:D169"/>
    <mergeCell ref="B183:E185"/>
    <mergeCell ref="B167:D167"/>
    <mergeCell ref="B8:D8"/>
    <mergeCell ref="B53:G53"/>
    <mergeCell ref="B55:G55"/>
    <mergeCell ref="B164:D164"/>
    <mergeCell ref="B160:D160"/>
    <mergeCell ref="E160:G160"/>
    <mergeCell ref="B161:D161"/>
    <mergeCell ref="E161:G161"/>
    <mergeCell ref="B162:D162"/>
    <mergeCell ref="E162:G162"/>
    <mergeCell ref="B126:D126"/>
    <mergeCell ref="B127:G127"/>
    <mergeCell ref="B128:D128"/>
    <mergeCell ref="B179:E181"/>
  </mergeCells>
  <conditionalFormatting sqref="F10">
    <cfRule type="expression" dxfId="191" priority="105">
      <formula>$F$10&gt;$F$9</formula>
    </cfRule>
  </conditionalFormatting>
  <conditionalFormatting sqref="G10">
    <cfRule type="expression" dxfId="190" priority="104">
      <formula>$G$10&gt;$G$9</formula>
    </cfRule>
  </conditionalFormatting>
  <conditionalFormatting sqref="B153:D154 H152:XFD152 F153:G154">
    <cfRule type="expression" dxfId="189" priority="87">
      <formula>"И(Титульный!$B$1=Титульный!$E$2;СУММ('6.7'!$j$141:$j$147)&gt;'6.7'!$AD$141)"</formula>
    </cfRule>
  </conditionalFormatting>
  <conditionalFormatting sqref="E10">
    <cfRule type="expression" dxfId="188" priority="84">
      <formula>$F$10&gt;$F$9</formula>
    </cfRule>
  </conditionalFormatting>
  <conditionalFormatting sqref="E153:E154">
    <cfRule type="expression" dxfId="187" priority="68">
      <formula>"И(Титульный!$B$1=Титульный!$E$2;СУММ('6.7'!$j$141:$j$147)&gt;'6.7'!$AD$141)"</formula>
    </cfRule>
  </conditionalFormatting>
  <conditionalFormatting sqref="B145:D145 H144:O144 F145:G145 U144:XFD144 P143:T143 I145">
    <cfRule type="expression" dxfId="186" priority="108">
      <formula>AND($B$1=$E$2,SUM($I$115:$I$132)&gt;$AC$115)</formula>
    </cfRule>
  </conditionalFormatting>
  <conditionalFormatting sqref="E145">
    <cfRule type="expression" dxfId="185" priority="109">
      <formula>AND($B$1=$E$2,SUM($I$115:$I$132)&gt;$AC$115)</formula>
    </cfRule>
  </conditionalFormatting>
  <conditionalFormatting sqref="I153:I154">
    <cfRule type="expression" dxfId="184" priority="32">
      <formula>"И(Титульный!$B$1=Титульный!$E$2;СУММ('6.7'!$j$141:$j$147)&gt;'6.7'!$AD$141)"</formula>
    </cfRule>
  </conditionalFormatting>
  <conditionalFormatting sqref="E171:G171">
    <cfRule type="containsBlanks" dxfId="183" priority="19">
      <formula>LEN(TRIM(E171))=0</formula>
    </cfRule>
  </conditionalFormatting>
  <dataValidations count="2">
    <dataValidation type="list" allowBlank="1" showInputMessage="1" showErrorMessage="1" sqref="B1" xr:uid="{00000000-0002-0000-0000-000000000000}">
      <formula1>E2:G2</formula1>
    </dataValidation>
    <dataValidation type="list" allowBlank="1" showInputMessage="1" showErrorMessage="1" sqref="C1:D1" xr:uid="{00000000-0002-0000-0000-000001000000}">
      <formula1>F2:G2</formula1>
    </dataValidation>
  </dataValidations>
  <pageMargins left="0.70866141732283472" right="0.70866141732283472" top="0.74803149606299213" bottom="0.74803149606299213" header="0.31496062992125984" footer="0.31496062992125984"/>
  <pageSetup paperSize="9" scale="1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01" id="{A42E56BD-624C-4DCB-9523-BF8066C7D220}">
            <xm:f>AND($B$1=$E$2,SUM('\Точеная О.И\[2019.12.04 - 2019 ПФХД, СОШ 28.xlsx]6.5'!#REF!)&gt;'\Точеная О.И\[2019.12.04 - 2019 ПФХД, СОШ 28.xlsx]6.5'!#REF!)</xm:f>
            <x14:dxf>
              <fill>
                <patternFill>
                  <bgColor theme="5" tint="0.59996337778862885"/>
                </patternFill>
              </fill>
            </x14:dxf>
          </x14:cfRule>
          <xm:sqref>A26:D26 F26:O26 U26:XFD26 P24:T24</xm:sqref>
        </x14:conditionalFormatting>
        <x14:conditionalFormatting xmlns:xm="http://schemas.microsoft.com/office/excel/2006/main">
          <x14:cfRule type="expression" priority="100" id="{15453DCE-3EA2-484E-BE22-6A95BE1A64A0}">
            <xm:f>AND($B$1=$E$2,SUM('\Точеная О.И\[2019.12.04 - 2019 ПФХД, СОШ 28.xlsx]6.5'!#REF!)&gt;'\Точеная О.И\[2019.12.04 - 2019 ПФХД, СОШ 28.xlsx]6.5'!#REF!)</xm:f>
            <x14:dxf>
              <fill>
                <patternFill>
                  <bgColor theme="5" tint="0.59996337778862885"/>
                </patternFill>
              </fill>
            </x14:dxf>
          </x14:cfRule>
          <xm:sqref>J68:XFD68</xm:sqref>
        </x14:conditionalFormatting>
        <x14:conditionalFormatting xmlns:xm="http://schemas.microsoft.com/office/excel/2006/main">
          <x14:cfRule type="expression" priority="99" id="{358034AE-BD46-4BC5-A66E-B12F3A9A1243}">
            <xm:f>AND($B$1=$E$2,SUM('\Точеная О.И\[2019.12.04 - 2019 ПФХД, СОШ 28.xlsx]6.5'!#REF!)&gt;'\Точеная О.И\[2019.12.04 - 2019 ПФХД, СОШ 28.xlsx]6.5'!#REF!)</xm:f>
            <x14:dxf>
              <fill>
                <patternFill>
                  <bgColor theme="5" tint="0.59996337778862885"/>
                </patternFill>
              </fill>
            </x14:dxf>
          </x14:cfRule>
          <xm:sqref>B141:D141 U140:XFD140 P139:T139 H140:O140 F141:G141</xm:sqref>
        </x14:conditionalFormatting>
        <x14:conditionalFormatting xmlns:xm="http://schemas.microsoft.com/office/excel/2006/main">
          <x14:cfRule type="expression" priority="98" id="{85BBE342-164A-41A4-8016-A32558BC9F3B}">
            <xm:f>AND($B$1=$E$2,SUM('\Точеная О.И\[2019.12.04 - 2019 ПФХД, СОШ 28.xlsx]6.6'!#REF!)&gt;'\Точеная О.И\[2019.12.04 - 2019 ПФХД, СОШ 28.xlsx]6.6'!#REF!)</xm:f>
            <x14:dxf>
              <fill>
                <patternFill>
                  <bgColor theme="5" tint="0.59996337778862885"/>
                </patternFill>
              </fill>
            </x14:dxf>
          </x14:cfRule>
          <xm:sqref>A30:D30 H30:XFD30</xm:sqref>
        </x14:conditionalFormatting>
        <x14:conditionalFormatting xmlns:xm="http://schemas.microsoft.com/office/excel/2006/main">
          <x14:cfRule type="expression" priority="97" id="{1716097B-4570-4C7C-B54F-68E5EB284E64}">
            <xm:f>AND($B$1=$E$2,SUM('\Точеная О.И\[2019.12.04 - 2019 ПФХД, СОШ 28.xlsx]6.6'!#REF!)&gt;'\Точеная О.И\[2019.12.04 - 2019 ПФХД, СОШ 28.xlsx]6.6'!#REF!)</xm:f>
            <x14:dxf>
              <fill>
                <patternFill>
                  <bgColor theme="5" tint="0.59996337778862885"/>
                </patternFill>
              </fill>
            </x14:dxf>
          </x14:cfRule>
          <xm:sqref>J71:XFD73 B79:D80 U142:XFD142 P141:T141 H78:XFD79 H142:O142 F143:G143 I79:I80</xm:sqref>
        </x14:conditionalFormatting>
        <x14:conditionalFormatting xmlns:xm="http://schemas.microsoft.com/office/excel/2006/main">
          <x14:cfRule type="expression" priority="96" id="{7615A1C1-BD72-4583-A4BB-12DCB19DD773}">
            <xm:f>AND($B$1=$E$2,SUM('\Точеная О.И\[2019.12.04 - 2019 ПФХД, СОШ 28.xlsx]6.6'!#REF!)&gt;'\Точеная О.И\[2019.12.04 - 2019 ПФХД, СОШ 28.xlsx]6.6'!#REF!)</xm:f>
            <x14:dxf>
              <fill>
                <patternFill>
                  <bgColor theme="5" tint="0.59996337778862885"/>
                </patternFill>
              </fill>
            </x14:dxf>
          </x14:cfRule>
          <xm:sqref>B143:D143</xm:sqref>
        </x14:conditionalFormatting>
        <x14:conditionalFormatting xmlns:xm="http://schemas.microsoft.com/office/excel/2006/main">
          <x14:cfRule type="expression" priority="95" id="{5E52966E-D671-4A2F-9681-4E3A6EAC1D1B}">
            <xm:f>AND($B$1=$E$2,SUM('\Точеная О.И\[2019.12.04 - 2019 ПФХД, СОШ 28.xlsx]6.7'!#REF!)&gt;'\Точеная О.И\[2019.12.04 - 2019 ПФХД, СОШ 28.xlsx]6.7'!#REF!)</xm:f>
            <x14:dxf>
              <fill>
                <patternFill>
                  <bgColor theme="5" tint="0.59996337778862885"/>
                </patternFill>
              </fill>
            </x14:dxf>
          </x14:cfRule>
          <xm:sqref>A51:D51 F51:XFD51</xm:sqref>
        </x14:conditionalFormatting>
        <x14:conditionalFormatting xmlns:xm="http://schemas.microsoft.com/office/excel/2006/main">
          <x14:cfRule type="expression" priority="94" id="{03850953-2E3D-414F-8C0C-A019AA70B540}">
            <xm:f>AND($B$1=$E$2,SUM('\Точеная О.И\[2019.12.04 - 2019 ПФХД, СОШ 28.xlsx]6.7'!#REF!)&gt;'\Точеная О.И\[2019.12.04 - 2019 ПФХД, СОШ 28.xlsx]6.7'!#REF!)</xm:f>
            <x14:dxf>
              <fill>
                <patternFill>
                  <bgColor theme="5" tint="0.59996337778862885"/>
                </patternFill>
              </fill>
            </x14:dxf>
          </x14:cfRule>
          <xm:sqref>B86:D86 S85:XFD85 H94:XFD94 J85:Q85 A115 B116:D116 H85 H115:XFD115 H119:XFD121 H123:XFD123 H148:XFD148 H149:Q150 F149:G151 H90:XFD92 I95:I96 I91:I93 I149:I151 I116 I120:I122 I124</xm:sqref>
        </x14:conditionalFormatting>
        <x14:conditionalFormatting xmlns:xm="http://schemas.microsoft.com/office/excel/2006/main">
          <x14:cfRule type="expression" priority="93" id="{AE863C80-A999-4F94-BDA2-188CC356C1D5}">
            <xm:f>AND($B$1=$E$2,SUM('\Точеная О.И\[2019.12.04 - 2019 ПФХД, СОШ 28.xlsx]6.7'!#REF!)&gt;'\Точеная О.И\[2019.12.04 - 2019 ПФХД, СОШ 28.xlsx]6.7'!#REF!)</xm:f>
            <x14:dxf>
              <fill>
                <patternFill>
                  <bgColor theme="5" tint="0.59996337778862885"/>
                </patternFill>
              </fill>
            </x14:dxf>
          </x14:cfRule>
          <xm:sqref>B91:D91 A119 B120:D120</xm:sqref>
        </x14:conditionalFormatting>
        <x14:conditionalFormatting xmlns:xm="http://schemas.microsoft.com/office/excel/2006/main">
          <x14:cfRule type="expression" priority="92" id="{66257D1C-EC95-4DAA-B01C-444CD8305B5F}">
            <xm:f>AND($B$1=$E$2,SUM('\Точеная О.И\[2019.12.04 - 2019 ПФХД, СОШ 28.xlsx]6.7'!#REF!)&gt;'\Точеная О.И\[2019.12.04 - 2019 ПФХД, СОШ 28.xlsx]6.7'!#REF!)</xm:f>
            <x14:dxf>
              <fill>
                <patternFill>
                  <bgColor theme="5" tint="0.59996337778862885"/>
                </patternFill>
              </fill>
            </x14:dxf>
          </x14:cfRule>
          <xm:sqref>B92:D92 A120 B121:D121</xm:sqref>
        </x14:conditionalFormatting>
        <x14:conditionalFormatting xmlns:xm="http://schemas.microsoft.com/office/excel/2006/main">
          <x14:cfRule type="expression" priority="91" id="{C2BB7891-13E1-4328-B738-D896F931604D}">
            <xm:f>AND($B$1=$E$2,SUM('\Точеная О.И\[2019.12.04 - 2019 ПФХД, СОШ 28.xlsx]6.7'!#REF!)&gt;'\Точеная О.И\[2019.12.04 - 2019 ПФХД, СОШ 28.xlsx]6.7'!#REF!)</xm:f>
            <x14:dxf>
              <fill>
                <patternFill>
                  <bgColor theme="5" tint="0.59996337778862885"/>
                </patternFill>
              </fill>
            </x14:dxf>
          </x14:cfRule>
          <xm:sqref>B93:D93 A121 B122:D122</xm:sqref>
        </x14:conditionalFormatting>
        <x14:conditionalFormatting xmlns:xm="http://schemas.microsoft.com/office/excel/2006/main">
          <x14:cfRule type="expression" priority="90" id="{50433D31-B663-4B03-B208-ED0300497A2E}">
            <xm:f>AND($B$1=$E$2,SUM('\Точеная О.И\[2019.12.04 - 2019 ПФХД, СОШ 28.xlsx]6.7'!#REF!)&gt;'\Точеная О.И\[2019.12.04 - 2019 ПФХД, СОШ 28.xlsx]6.7'!#REF!)</xm:f>
            <x14:dxf>
              <fill>
                <patternFill>
                  <bgColor theme="5" tint="0.59996337778862885"/>
                </patternFill>
              </fill>
            </x14:dxf>
          </x14:cfRule>
          <xm:sqref>A123 B124:D124 B95:D96</xm:sqref>
        </x14:conditionalFormatting>
        <x14:conditionalFormatting xmlns:xm="http://schemas.microsoft.com/office/excel/2006/main">
          <x14:cfRule type="expression" priority="89" id="{E837EEF1-51E2-4AE0-BB30-D5D1207DD3BA}">
            <xm:f>AND($B$1=$E$2,SUM('\Точеная О.И\[2019.12.04 - 2019 ПФХД, СОШ 28.xlsx]6.7'!#REF!)&gt;'\Точеная О.И\[2019.12.04 - 2019 ПФХД, СОШ 28.xlsx]6.7'!#REF!)</xm:f>
            <x14:dxf>
              <fill>
                <patternFill>
                  <bgColor theme="5" tint="0.59996337778862885"/>
                </patternFill>
              </fill>
            </x14:dxf>
          </x14:cfRule>
          <xm:sqref>B149:D149</xm:sqref>
        </x14:conditionalFormatting>
        <x14:conditionalFormatting xmlns:xm="http://schemas.microsoft.com/office/excel/2006/main">
          <x14:cfRule type="expression" priority="88" id="{59BA51B8-D4D5-4BFC-AD7C-DC81D7CC8EFB}">
            <xm:f>AND($B$1=$E$2,SUM('\Точеная О.И\[2019.12.04 - 2019 ПФХД, СОШ 28.xlsx]6.7'!#REF!)&gt;'\Точеная О.И\[2019.12.04 - 2019 ПФХД, СОШ 28.xlsx]6.7'!#REF!)</xm:f>
            <x14:dxf>
              <fill>
                <patternFill>
                  <bgColor theme="5" tint="0.59996337778862885"/>
                </patternFill>
              </fill>
            </x14:dxf>
          </x14:cfRule>
          <xm:sqref>B150:D150 S149:XFD149</xm:sqref>
        </x14:conditionalFormatting>
        <x14:conditionalFormatting xmlns:xm="http://schemas.microsoft.com/office/excel/2006/main">
          <x14:cfRule type="expression" priority="86" id="{BFC5A969-6BD6-487F-9008-782FE84A1DEB}">
            <xm:f>AND($B$1=$E$2,SUM('\Точеная О.И\[2019.12.04 - 2019 ПФХД, СОШ 28.xlsx]6.7'!#REF!)&gt;'\Точеная О.И\[2019.12.04 - 2019 ПФХД, СОШ 28.xlsx]6.7'!#REF!)</xm:f>
            <x14:dxf>
              <fill>
                <patternFill>
                  <bgColor theme="5" tint="0.59996337778862885"/>
                </patternFill>
              </fill>
            </x14:dxf>
          </x14:cfRule>
          <xm:sqref>B151:D151 S150:XFD150</xm:sqref>
        </x14:conditionalFormatting>
        <x14:conditionalFormatting xmlns:xm="http://schemas.microsoft.com/office/excel/2006/main">
          <x14:cfRule type="expression" priority="102" id="{303E22AE-9459-49D4-B122-68A82403D306}">
            <xm:f>NOT(ROUND('\Точеная О.И\[2019.12.04 - 2019 ПФХД, СОШ 28.xlsx]2 - 2021'!#REF!,2)=0)</xm:f>
            <x14:dxf>
              <fill>
                <patternFill>
                  <bgColor theme="5" tint="0.59996337778862885"/>
                </patternFill>
              </fill>
            </x14:dxf>
          </x14:cfRule>
          <x14:cfRule type="expression" priority="103" id="{EB9ECE5B-0930-4537-9056-BCDF73FDE663}">
            <xm:f>NOT(ROUND('\Точеная О.И\[2019.12.04 - 2019 ПФХД, СОШ 28.xlsx]2 - 2020'!#REF!,2)=0)</xm:f>
            <x14:dxf>
              <fill>
                <patternFill>
                  <bgColor theme="5" tint="0.59996337778862885"/>
                </patternFill>
              </fill>
            </x14:dxf>
          </x14:cfRule>
          <x14:cfRule type="expression" priority="106" id="{F1288485-FBF5-4536-BB1D-9FAA62659175}">
            <xm:f>NOT(ROUND('\Точеная О.И\[2019.12.04 - 2019 ПФХД, СОШ 28.xlsx]2 - 2019'!#REF!,2)=0)</xm:f>
            <x14:dxf>
              <fill>
                <patternFill>
                  <bgColor theme="5" tint="0.59996337778862885"/>
                </patternFill>
              </fill>
            </x14:dxf>
          </x14:cfRule>
          <xm:sqref>A52:D52 H52:XFD55 B53 A125 B126:D126 A157 B158:D158</xm:sqref>
        </x14:conditionalFormatting>
        <x14:conditionalFormatting xmlns:xm="http://schemas.microsoft.com/office/excel/2006/main">
          <x14:cfRule type="expression" priority="81" id="{9E513A49-9106-4756-87BB-70FF1BFC8A32}">
            <xm:f>AND($B$1=$E$2,SUM('\Точеная О.И\[2019.12.04 - 2019 ПФХД, СОШ 28.xlsx]6.5'!#REF!)&gt;'\Точеная О.И\[2019.12.04 - 2019 ПФХД, СОШ 28.xlsx]6.5'!#REF!)</xm:f>
            <x14:dxf>
              <fill>
                <patternFill>
                  <bgColor theme="5" tint="0.59996337778862885"/>
                </patternFill>
              </fill>
            </x14:dxf>
          </x14:cfRule>
          <xm:sqref>E26</xm:sqref>
        </x14:conditionalFormatting>
        <x14:conditionalFormatting xmlns:xm="http://schemas.microsoft.com/office/excel/2006/main">
          <x14:cfRule type="expression" priority="80" id="{3828B726-8273-4909-A7E7-3D8EF8723575}">
            <xm:f>AND($B$1=$E$2,SUM('\Точеная О.И\[2019.12.04 - 2019 ПФХД, СОШ 28.xlsx]6.5'!#REF!)&gt;'\Точеная О.И\[2019.12.04 - 2019 ПФХД, СОШ 28.xlsx]6.5'!#REF!)</xm:f>
            <x14:dxf>
              <fill>
                <patternFill>
                  <bgColor theme="5" tint="0.59996337778862885"/>
                </patternFill>
              </fill>
            </x14:dxf>
          </x14:cfRule>
          <xm:sqref>E141</xm:sqref>
        </x14:conditionalFormatting>
        <x14:conditionalFormatting xmlns:xm="http://schemas.microsoft.com/office/excel/2006/main">
          <x14:cfRule type="expression" priority="79" id="{409DBA73-9971-4A33-AAAC-FBEC0F06B5FA}">
            <xm:f>AND($B$1=$E$2,SUM('\Точеная О.И\[2019.12.04 - 2019 ПФХД, СОШ 28.xlsx]6.6'!#REF!)&gt;'\Точеная О.И\[2019.12.04 - 2019 ПФХД, СОШ 28.xlsx]6.6'!#REF!)</xm:f>
            <x14:dxf>
              <fill>
                <patternFill>
                  <bgColor theme="5" tint="0.59996337778862885"/>
                </patternFill>
              </fill>
            </x14:dxf>
          </x14:cfRule>
          <xm:sqref>E30:G30</xm:sqref>
        </x14:conditionalFormatting>
        <x14:conditionalFormatting xmlns:xm="http://schemas.microsoft.com/office/excel/2006/main">
          <x14:cfRule type="expression" priority="77" id="{95A66F93-62CE-4106-A0D3-94ACE2F1A497}">
            <xm:f>AND($B$1=$E$2,SUM('\Точеная О.И\[2019.12.04 - 2019 ПФХД, СОШ 28.xlsx]6.6'!#REF!)&gt;'\Точеная О.И\[2019.12.04 - 2019 ПФХД, СОШ 28.xlsx]6.6'!#REF!)</xm:f>
            <x14:dxf>
              <fill>
                <patternFill>
                  <bgColor theme="5" tint="0.59996337778862885"/>
                </patternFill>
              </fill>
            </x14:dxf>
          </x14:cfRule>
          <xm:sqref>E143</xm:sqref>
        </x14:conditionalFormatting>
        <x14:conditionalFormatting xmlns:xm="http://schemas.microsoft.com/office/excel/2006/main">
          <x14:cfRule type="expression" priority="76" id="{4F447CC0-D573-412C-87B9-80B71D3755C9}">
            <xm:f>AND($B$1=$E$2,SUM('\Точеная О.И\[2019.12.04 - 2019 ПФХД, СОШ 28.xlsx]6.7'!#REF!)&gt;'\Точеная О.И\[2019.12.04 - 2019 ПФХД, СОШ 28.xlsx]6.7'!#REF!)</xm:f>
            <x14:dxf>
              <fill>
                <patternFill>
                  <bgColor theme="5" tint="0.59996337778862885"/>
                </patternFill>
              </fill>
            </x14:dxf>
          </x14:cfRule>
          <xm:sqref>E51</xm:sqref>
        </x14:conditionalFormatting>
        <x14:conditionalFormatting xmlns:xm="http://schemas.microsoft.com/office/excel/2006/main">
          <x14:cfRule type="expression" priority="70" id="{89262F6F-68D8-48BD-91FD-4DD31D1FFC38}">
            <xm:f>AND($B$1=$E$2,SUM('\Точеная О.И\[2019.12.04 - 2019 ПФХД, СОШ 28.xlsx]6.7'!#REF!)&gt;'\Точеная О.И\[2019.12.04 - 2019 ПФХД, СОШ 28.xlsx]6.7'!#REF!)</xm:f>
            <x14:dxf>
              <fill>
                <patternFill>
                  <bgColor theme="5" tint="0.59996337778862885"/>
                </patternFill>
              </fill>
            </x14:dxf>
          </x14:cfRule>
          <xm:sqref>E149</xm:sqref>
        </x14:conditionalFormatting>
        <x14:conditionalFormatting xmlns:xm="http://schemas.microsoft.com/office/excel/2006/main">
          <x14:cfRule type="expression" priority="69" id="{F7A56381-3841-40C7-9C56-EA070A0F94A1}">
            <xm:f>AND($B$1=$E$2,SUM('\Точеная О.И\[2019.12.04 - 2019 ПФХД, СОШ 28.xlsx]6.7'!#REF!)&gt;'\Точеная О.И\[2019.12.04 - 2019 ПФХД, СОШ 28.xlsx]6.7'!#REF!)</xm:f>
            <x14:dxf>
              <fill>
                <patternFill>
                  <bgColor theme="5" tint="0.59996337778862885"/>
                </patternFill>
              </fill>
            </x14:dxf>
          </x14:cfRule>
          <xm:sqref>E150</xm:sqref>
        </x14:conditionalFormatting>
        <x14:conditionalFormatting xmlns:xm="http://schemas.microsoft.com/office/excel/2006/main">
          <x14:cfRule type="expression" priority="67" id="{6E071A85-0983-4D9D-B1EA-8DC3AF162F4A}">
            <xm:f>AND($B$1=$E$2,SUM('\Точеная О.И\[2019.12.04 - 2019 ПФХД, СОШ 28.xlsx]6.7'!#REF!)&gt;'\Точеная О.И\[2019.12.04 - 2019 ПФХД, СОШ 28.xlsx]6.7'!#REF!)</xm:f>
            <x14:dxf>
              <fill>
                <patternFill>
                  <bgColor theme="5" tint="0.59996337778862885"/>
                </patternFill>
              </fill>
            </x14:dxf>
          </x14:cfRule>
          <xm:sqref>E151</xm:sqref>
        </x14:conditionalFormatting>
        <x14:conditionalFormatting xmlns:xm="http://schemas.microsoft.com/office/excel/2006/main">
          <x14:cfRule type="expression" priority="82" id="{835F0EBA-8EA0-498E-B2D6-C736019732B6}">
            <xm:f>NOT(ROUND('\Точеная О.И\[2019.12.04 - 2019 ПФХД, СОШ 28.xlsx]2 - 2021'!#REF!,2)=0)</xm:f>
            <x14:dxf>
              <fill>
                <patternFill>
                  <bgColor theme="5" tint="0.59996337778862885"/>
                </patternFill>
              </fill>
            </x14:dxf>
          </x14:cfRule>
          <x14:cfRule type="expression" priority="83" id="{DA388D7B-8624-4FC0-90D8-E2FB35DFF2ED}">
            <xm:f>NOT(ROUND('\Точеная О.И\[2019.12.04 - 2019 ПФХД, СОШ 28.xlsx]2 - 2020'!#REF!,2)=0)</xm:f>
            <x14:dxf>
              <fill>
                <patternFill>
                  <bgColor theme="5" tint="0.59996337778862885"/>
                </patternFill>
              </fill>
            </x14:dxf>
          </x14:cfRule>
          <x14:cfRule type="expression" priority="85" id="{1BA717E2-4906-4575-B974-FEF4ECEA1178}">
            <xm:f>NOT(ROUND('\Точеная О.И\[2019.12.04 - 2019 ПФХД, СОШ 28.xlsx]2 - 2019'!#REF!,2)=0)</xm:f>
            <x14:dxf>
              <fill>
                <patternFill>
                  <bgColor theme="5" tint="0.59996337778862885"/>
                </patternFill>
              </fill>
            </x14:dxf>
          </x14:cfRule>
          <xm:sqref>E52:G52 E54:G54</xm:sqref>
        </x14:conditionalFormatting>
        <x14:conditionalFormatting xmlns:xm="http://schemas.microsoft.com/office/excel/2006/main">
          <x14:cfRule type="expression" priority="66" id="{9D82AD65-7E35-4FD9-9D23-BA129D1FD68B}">
            <xm:f>AND($B$1=$E$2,SUM('\Точеная О.И\[2019.12.04 - 2019 ПФХД, СОШ 28.xlsx]6.7'!#REF!)&gt;'\Точеная О.И\[2019.12.04 - 2019 ПФХД, СОШ 28.xlsx]6.7'!#REF!)</xm:f>
            <x14:dxf>
              <fill>
                <patternFill>
                  <bgColor theme="5" tint="0.59996337778862885"/>
                </patternFill>
              </fill>
            </x14:dxf>
          </x14:cfRule>
          <xm:sqref>R149</xm:sqref>
        </x14:conditionalFormatting>
        <x14:conditionalFormatting xmlns:xm="http://schemas.microsoft.com/office/excel/2006/main">
          <x14:cfRule type="expression" priority="65" id="{5C257947-D45C-43AB-BA04-A17E14DCB42C}">
            <xm:f>AND($B$1=$E$2,SUM('\Точеная О.И\[2019.12.04 - 2019 ПФХД, СОШ 28.xlsx]6.7'!#REF!)&gt;'\Точеная О.И\[2019.12.04 - 2019 ПФХД, СОШ 28.xlsx]6.7'!#REF!)</xm:f>
            <x14:dxf>
              <fill>
                <patternFill>
                  <bgColor theme="5" tint="0.59996337778862885"/>
                </patternFill>
              </fill>
            </x14:dxf>
          </x14:cfRule>
          <xm:sqref>R150</xm:sqref>
        </x14:conditionalFormatting>
        <x14:conditionalFormatting xmlns:xm="http://schemas.microsoft.com/office/excel/2006/main">
          <x14:cfRule type="expression" priority="62" id="{CA846DAC-762E-47AB-AB94-32A9A6AE3E59}">
            <xm:f>NOT(ROUND('\Точеная О.И\[2019.12.04 - 2019 ПФХД, СОШ 28.xlsx]2 - 2021'!#REF!,2)=0)</xm:f>
            <x14:dxf>
              <fill>
                <patternFill>
                  <bgColor theme="5" tint="0.59996337778862885"/>
                </patternFill>
              </fill>
            </x14:dxf>
          </x14:cfRule>
          <x14:cfRule type="expression" priority="63" id="{3BEA0A09-9514-4DAD-B841-95D86455208D}">
            <xm:f>NOT(ROUND('\Точеная О.И\[2019.12.04 - 2019 ПФХД, СОШ 28.xlsx]2 - 2020'!#REF!,2)=0)</xm:f>
            <x14:dxf>
              <fill>
                <patternFill>
                  <bgColor theme="5" tint="0.59996337778862885"/>
                </patternFill>
              </fill>
            </x14:dxf>
          </x14:cfRule>
          <x14:cfRule type="expression" priority="64" id="{D5503C86-46E7-419F-924D-251A0D71C719}">
            <xm:f>NOT(ROUND('\Точеная О.И\[2019.12.04 - 2019 ПФХД, СОШ 28.xlsx]2 - 2019'!#REF!,2)=0)</xm:f>
            <x14:dxf>
              <fill>
                <patternFill>
                  <bgColor theme="5" tint="0.59996337778862885"/>
                </patternFill>
              </fill>
            </x14:dxf>
          </x14:cfRule>
          <xm:sqref>H125:XFD125</xm:sqref>
        </x14:conditionalFormatting>
        <x14:conditionalFormatting xmlns:xm="http://schemas.microsoft.com/office/excel/2006/main">
          <x14:cfRule type="expression" priority="58" id="{F41D3348-6AD0-4113-A8FA-C2AC6A022652}">
            <xm:f>AND($B$1=$E$2,SUM('\Точеная О.И\[2019.12.04 - 2019 ПФХД, СОШ 28.xlsx]6.5'!#REF!)&gt;'\Точеная О.И\[2019.12.04 - 2019 ПФХД, СОШ 28.xlsx]6.5'!#REF!)</xm:f>
            <x14:dxf>
              <fill>
                <patternFill>
                  <bgColor theme="5" tint="0.59996337778862885"/>
                </patternFill>
              </fill>
            </x14:dxf>
          </x14:cfRule>
          <xm:sqref>B70:D70</xm:sqref>
        </x14:conditionalFormatting>
        <x14:conditionalFormatting xmlns:xm="http://schemas.microsoft.com/office/excel/2006/main">
          <x14:cfRule type="expression" priority="57" id="{B1D412A2-B92C-418E-8B8C-AF6239E4670F}">
            <xm:f>AND($B$1=$E$2,SUM('\Точеная О.И\[2019.12.04 - 2019 ПФХД, СОШ 28.xlsx]6.6'!#REF!)&gt;'\Точеная О.И\[2019.12.04 - 2019 ПФХД, СОШ 28.xlsx]6.6'!#REF!)</xm:f>
            <x14:dxf>
              <fill>
                <patternFill>
                  <bgColor theme="5" tint="0.59996337778862885"/>
                </patternFill>
              </fill>
            </x14:dxf>
          </x14:cfRule>
          <xm:sqref>B83:D83 J80:XFD80 H80</xm:sqref>
        </x14:conditionalFormatting>
        <x14:conditionalFormatting xmlns:xm="http://schemas.microsoft.com/office/excel/2006/main">
          <x14:cfRule type="expression" priority="55" id="{C7E870BF-93E6-4C50-A819-00F999F15F85}">
            <xm:f>AND($B$1=$E$2,SUM('\Точеная О.И\[2019.12.04 - 2019 ПФХД, СОШ 28.xlsx]6.6'!#REF!)&gt;'\Точеная О.И\[2019.12.04 - 2019 ПФХД, СОШ 28.xlsx]6.6'!#REF!)</xm:f>
            <x14:dxf>
              <fill>
                <patternFill>
                  <bgColor theme="5" tint="0.59996337778862885"/>
                </patternFill>
              </fill>
            </x14:dxf>
          </x14:cfRule>
          <xm:sqref>B75:D75 H73</xm:sqref>
        </x14:conditionalFormatting>
        <x14:conditionalFormatting xmlns:xm="http://schemas.microsoft.com/office/excel/2006/main">
          <x14:cfRule type="expression" priority="53" id="{25B3FE0F-B026-4FEF-83EC-87F25DB68DB8}">
            <xm:f>AND($B$1=$E$2,SUM('\Точеная О.И\[2019.12.04 - 2019 ПФХД, СОШ 28.xlsx]6.5'!#REF!)&gt;'\Точеная О.И\[2019.12.04 - 2019 ПФХД, СОШ 28.xlsx]6.5'!#REF!)</xm:f>
            <x14:dxf>
              <fill>
                <patternFill>
                  <bgColor theme="5" tint="0.59996337778862885"/>
                </patternFill>
              </fill>
            </x14:dxf>
          </x14:cfRule>
          <xm:sqref>B71:D71</xm:sqref>
        </x14:conditionalFormatting>
        <x14:conditionalFormatting xmlns:xm="http://schemas.microsoft.com/office/excel/2006/main">
          <x14:cfRule type="expression" priority="50" id="{6CA82EA1-636E-4DFC-AD3F-7F90161389E9}">
            <xm:f>NOT(ROUND('\Точеная О.И\[2019.12.04 - 2019 ПФХД, СОШ 28.xlsx]2 - 2021'!#REF!,2)=0)</xm:f>
            <x14:dxf>
              <fill>
                <patternFill>
                  <bgColor theme="5" tint="0.59996337778862885"/>
                </patternFill>
              </fill>
            </x14:dxf>
          </x14:cfRule>
          <x14:cfRule type="expression" priority="51" id="{923A7D9D-8BD0-4CA6-843A-075C50D3EF13}">
            <xm:f>NOT(ROUND('\Точеная О.И\[2019.12.04 - 2019 ПФХД, СОШ 28.xlsx]2 - 2020'!#REF!,2)=0)</xm:f>
            <x14:dxf>
              <fill>
                <patternFill>
                  <bgColor theme="5" tint="0.59996337778862885"/>
                </patternFill>
              </fill>
            </x14:dxf>
          </x14:cfRule>
          <x14:cfRule type="expression" priority="52" id="{02F3B982-1132-43CC-993B-F41E75FA523E}">
            <xm:f>NOT(ROUND('\Точеная О.И\[2019.12.04 - 2019 ПФХД, СОШ 28.xlsx]2 - 2019'!#REF!,2)=0)</xm:f>
            <x14:dxf>
              <fill>
                <patternFill>
                  <bgColor theme="5" tint="0.59996337778862885"/>
                </patternFill>
              </fill>
            </x14:dxf>
          </x14:cfRule>
          <xm:sqref>H126:XFD128 B127</xm:sqref>
        </x14:conditionalFormatting>
        <x14:conditionalFormatting xmlns:xm="http://schemas.microsoft.com/office/excel/2006/main">
          <x14:cfRule type="expression" priority="47" id="{A3CADD02-629D-401E-8C38-696313E56D7D}">
            <xm:f>NOT(ROUND('\Точеная О.И\[2019.12.04 - 2019 ПФХД, СОШ 28.xlsx]2 - 2021'!#REF!,2)=0)</xm:f>
            <x14:dxf>
              <fill>
                <patternFill>
                  <bgColor theme="5" tint="0.59996337778862885"/>
                </patternFill>
              </fill>
            </x14:dxf>
          </x14:cfRule>
          <x14:cfRule type="expression" priority="48" id="{2F1E1881-7779-4103-AA69-C127AC94FEEC}">
            <xm:f>NOT(ROUND('\Точеная О.И\[2019.12.04 - 2019 ПФХД, СОШ 28.xlsx]2 - 2020'!#REF!,2)=0)</xm:f>
            <x14:dxf>
              <fill>
                <patternFill>
                  <bgColor theme="5" tint="0.59996337778862885"/>
                </patternFill>
              </fill>
            </x14:dxf>
          </x14:cfRule>
          <x14:cfRule type="expression" priority="49" id="{619BC321-EB36-4DE0-95DD-564F916799E6}">
            <xm:f>NOT(ROUND('\Точеная О.И\[2019.12.04 - 2019 ПФХД, СОШ 28.xlsx]2 - 2019'!#REF!,2)=0)</xm:f>
            <x14:dxf>
              <fill>
                <patternFill>
                  <bgColor theme="5" tint="0.59996337778862885"/>
                </patternFill>
              </fill>
            </x14:dxf>
          </x14:cfRule>
          <xm:sqref>E128:G128</xm:sqref>
        </x14:conditionalFormatting>
        <x14:conditionalFormatting xmlns:xm="http://schemas.microsoft.com/office/excel/2006/main">
          <x14:cfRule type="expression" priority="44" id="{7DDDB974-D362-4F9F-B80E-5F8CAD8FA5B8}">
            <xm:f>NOT(ROUND('\Точеная О.И\[2019.12.04 - 2019 ПФХД, СОШ 28.xlsx]2 - 2021'!#REF!,2)=0)</xm:f>
            <x14:dxf>
              <fill>
                <patternFill>
                  <bgColor theme="5" tint="0.59996337778862885"/>
                </patternFill>
              </fill>
            </x14:dxf>
          </x14:cfRule>
          <x14:cfRule type="expression" priority="45" id="{BC98A0DD-75FE-4B3D-A928-52FE329FE465}">
            <xm:f>NOT(ROUND('\Точеная О.И\[2019.12.04 - 2019 ПФХД, СОШ 28.xlsx]2 - 2020'!#REF!,2)=0)</xm:f>
            <x14:dxf>
              <fill>
                <patternFill>
                  <bgColor theme="5" tint="0.59996337778862885"/>
                </patternFill>
              </fill>
            </x14:dxf>
          </x14:cfRule>
          <x14:cfRule type="expression" priority="46" id="{0EB65FF7-9251-418E-A0EE-5A0D29D657D9}">
            <xm:f>NOT(ROUND('\Точеная О.И\[2019.12.04 - 2019 ПФХД, СОШ 28.xlsx]2 - 2019'!#REF!,2)=0)</xm:f>
            <x14:dxf>
              <fill>
                <patternFill>
                  <bgColor theme="5" tint="0.59996337778862885"/>
                </patternFill>
              </fill>
            </x14:dxf>
          </x14:cfRule>
          <xm:sqref>H157:XFD157</xm:sqref>
        </x14:conditionalFormatting>
        <x14:conditionalFormatting xmlns:xm="http://schemas.microsoft.com/office/excel/2006/main">
          <x14:cfRule type="expression" priority="41" id="{9F87C310-72BD-4217-B44F-63F9D87EB45B}">
            <xm:f>NOT(ROUND('\Точеная О.И\[2019.12.04 - 2019 ПФХД, СОШ 28.xlsx]2 - 2021'!#REF!,2)=0)</xm:f>
            <x14:dxf>
              <fill>
                <patternFill>
                  <bgColor theme="5" tint="0.59996337778862885"/>
                </patternFill>
              </fill>
            </x14:dxf>
          </x14:cfRule>
          <x14:cfRule type="expression" priority="42" id="{EFDAE90D-01E5-48F0-A0C0-4086EB3E43DB}">
            <xm:f>NOT(ROUND('\Точеная О.И\[2019.12.04 - 2019 ПФХД, СОШ 28.xlsx]2 - 2020'!#REF!,2)=0)</xm:f>
            <x14:dxf>
              <fill>
                <patternFill>
                  <bgColor theme="5" tint="0.59996337778862885"/>
                </patternFill>
              </fill>
            </x14:dxf>
          </x14:cfRule>
          <x14:cfRule type="expression" priority="43" id="{40C7D47C-D005-45A7-8150-37DB677BB2AD}">
            <xm:f>NOT(ROUND('\Точеная О.И\[2019.12.04 - 2019 ПФХД, СОШ 28.xlsx]2 - 2019'!#REF!,2)=0)</xm:f>
            <x14:dxf>
              <fill>
                <patternFill>
                  <bgColor theme="5" tint="0.59996337778862885"/>
                </patternFill>
              </fill>
            </x14:dxf>
          </x14:cfRule>
          <xm:sqref>E158:G158</xm:sqref>
        </x14:conditionalFormatting>
        <x14:conditionalFormatting xmlns:xm="http://schemas.microsoft.com/office/excel/2006/main">
          <x14:cfRule type="expression" priority="40" id="{B7AB358F-CA56-4E97-B284-168F73E7E58F}">
            <xm:f>AND($B$1=$E$2,SUM('\Точеная О.И\[2019.12.04 - 2019 ПФХД, СОШ 28.xlsx]6.7'!#REF!)&gt;'\Точеная О.И\[2019.12.04 - 2019 ПФХД, СОШ 28.xlsx]6.7'!#REF!)</xm:f>
            <x14:dxf>
              <fill>
                <patternFill>
                  <bgColor theme="5" tint="0.59996337778862885"/>
                </patternFill>
              </fill>
            </x14:dxf>
          </x14:cfRule>
          <xm:sqref>B76:D76 H75:XFD75</xm:sqref>
        </x14:conditionalFormatting>
        <x14:conditionalFormatting xmlns:xm="http://schemas.microsoft.com/office/excel/2006/main">
          <x14:cfRule type="expression" priority="38" id="{1BC135D5-63D7-40F1-AED5-C78EDEB00366}">
            <xm:f>AND($B$1=$E$2,SUM('\Точеная О.И\[2019.12.04 - 2019 ПФХД, СОШ 28.xlsx]6.7'!#REF!)&gt;'\Точеная О.И\[2019.12.04 - 2019 ПФХД, СОШ 28.xlsx]6.7'!#REF!)</xm:f>
            <x14:dxf>
              <fill>
                <patternFill>
                  <bgColor theme="5" tint="0.59996337778862885"/>
                </patternFill>
              </fill>
            </x14:dxf>
          </x14:cfRule>
          <xm:sqref>B87:D87 S86:XFD86 J86:Q86 H86</xm:sqref>
        </x14:conditionalFormatting>
        <x14:conditionalFormatting xmlns:xm="http://schemas.microsoft.com/office/excel/2006/main">
          <x14:cfRule type="expression" priority="36" id="{E21C1762-4D1E-45F7-BAEC-B223B4A61097}">
            <xm:f>AND($B$1=$E$2,SUM('\Точеная О.И\[2019.12.04 - 2019 ПФХД, СОШ 28.xlsx]6.7'!#REF!)&gt;'\Точеная О.И\[2019.12.04 - 2019 ПФХД, СОШ 28.xlsx]6.7'!#REF!)</xm:f>
            <x14:dxf>
              <fill>
                <patternFill>
                  <bgColor theme="5" tint="0.59996337778862885"/>
                </patternFill>
              </fill>
            </x14:dxf>
          </x14:cfRule>
          <xm:sqref>I76</xm:sqref>
        </x14:conditionalFormatting>
        <x14:conditionalFormatting xmlns:xm="http://schemas.microsoft.com/office/excel/2006/main">
          <x14:cfRule type="expression" priority="34" id="{4F723096-2B87-43B0-BF2C-DD9BCD4762C3}">
            <xm:f>AND($B$1=$E$2,SUM('\Точеная О.И\[2019.12.04 - 2019 ПФХД, СОШ 28.xlsx]6.5'!#REF!)&gt;'\Точеная О.И\[2019.12.04 - 2019 ПФХД, СОШ 28.xlsx]6.5'!#REF!)</xm:f>
            <x14:dxf>
              <fill>
                <patternFill>
                  <bgColor theme="5" tint="0.59996337778862885"/>
                </patternFill>
              </fill>
            </x14:dxf>
          </x14:cfRule>
          <xm:sqref>I141</xm:sqref>
        </x14:conditionalFormatting>
        <x14:conditionalFormatting xmlns:xm="http://schemas.microsoft.com/office/excel/2006/main">
          <x14:cfRule type="expression" priority="33" id="{32A59FDD-DED6-4E17-B46A-3C78091E3F0F}">
            <xm:f>AND($B$1=$E$2,SUM('\Точеная О.И\[2019.12.04 - 2019 ПФХД, СОШ 28.xlsx]6.6'!#REF!)&gt;'\Точеная О.И\[2019.12.04 - 2019 ПФХД, СОШ 28.xlsx]6.6'!#REF!)</xm:f>
            <x14:dxf>
              <fill>
                <patternFill>
                  <bgColor theme="5" tint="0.59996337778862885"/>
                </patternFill>
              </fill>
            </x14:dxf>
          </x14:cfRule>
          <xm:sqref>I143</xm:sqref>
        </x14:conditionalFormatting>
        <x14:conditionalFormatting xmlns:xm="http://schemas.microsoft.com/office/excel/2006/main">
          <x14:cfRule type="expression" priority="31" id="{DF3195A6-FE87-4F51-AC8E-F024E33A8CEF}">
            <xm:f>AND($B$1=$E$2,SUM('\Точеная О.И\[2019.12.04 - 2019 ПФХД, СОШ 28.xlsx]6.6'!#REF!)&gt;'\Точеная О.И\[2019.12.04 - 2019 ПФХД, СОШ 28.xlsx]6.6'!#REF!)</xm:f>
            <x14:dxf>
              <fill>
                <patternFill>
                  <bgColor theme="5" tint="0.59996337778862885"/>
                </patternFill>
              </fill>
            </x14:dxf>
          </x14:cfRule>
          <xm:sqref>J74:XFD74</xm:sqref>
        </x14:conditionalFormatting>
        <x14:conditionalFormatting xmlns:xm="http://schemas.microsoft.com/office/excel/2006/main">
          <x14:cfRule type="expression" priority="30" id="{833402D9-83EE-40DF-8FB2-932F85441174}">
            <xm:f>AND($B$1=$E$2,SUM('\Точеная О.И\[2019.12.04 - 2019 ПФХД, СОШ 28.xlsx]6.6'!#REF!)&gt;'\Точеная О.И\[2019.12.04 - 2019 ПФХД, СОШ 28.xlsx]6.6'!#REF!)</xm:f>
            <x14:dxf>
              <fill>
                <patternFill>
                  <bgColor theme="5" tint="0.59996337778862885"/>
                </patternFill>
              </fill>
            </x14:dxf>
          </x14:cfRule>
          <xm:sqref>H74</xm:sqref>
        </x14:conditionalFormatting>
        <x14:conditionalFormatting xmlns:xm="http://schemas.microsoft.com/office/excel/2006/main">
          <x14:cfRule type="expression" priority="29" id="{7F73283A-1EA2-4A51-A9B6-E54BF8361580}">
            <xm:f>AND($B$1=$E$2,SUM('\Точеная О.И\[2019.12.04 - 2019 ПФХД, СОШ 28.xlsx]6.6'!#REF!)&gt;'\Точеная О.И\[2019.12.04 - 2019 ПФХД, СОШ 28.xlsx]6.6'!#REF!)</xm:f>
            <x14:dxf>
              <fill>
                <patternFill>
                  <bgColor theme="5" tint="0.59996337778862885"/>
                </patternFill>
              </fill>
            </x14:dxf>
          </x14:cfRule>
          <xm:sqref>B81:D82 I81:I82</xm:sqref>
        </x14:conditionalFormatting>
        <x14:conditionalFormatting xmlns:xm="http://schemas.microsoft.com/office/excel/2006/main">
          <x14:cfRule type="expression" priority="27" id="{DD7890D0-60F1-4C9E-8FDB-B4A71011A349}">
            <xm:f>AND($B$1=$E$2,SUM('\Точеная О.И\[2019.12.04 - 2019 ПФХД, СОШ 28.xlsx]6.6'!#REF!)&gt;'\Точеная О.И\[2019.12.04 - 2019 ПФХД, СОШ 28.xlsx]6.6'!#REF!)</xm:f>
            <x14:dxf>
              <fill>
                <patternFill>
                  <bgColor theme="5" tint="0.59996337778862885"/>
                </patternFill>
              </fill>
            </x14:dxf>
          </x14:cfRule>
          <xm:sqref>J81:XFD82 H81:H82</xm:sqref>
        </x14:conditionalFormatting>
        <x14:conditionalFormatting xmlns:xm="http://schemas.microsoft.com/office/excel/2006/main">
          <x14:cfRule type="expression" priority="20" id="{14E4E7EB-3BEB-4245-B7D0-9BBD88B2565A}">
            <xm:f>NOT(ROUND('\Точеная О.И\[2019.12.04 - 2019 ПФХД, СОШ 28.xlsx]2 - 2021'!#REF!,2)=0)</xm:f>
            <x14:dxf>
              <fill>
                <patternFill>
                  <bgColor theme="5" tint="0.59996337778862885"/>
                </patternFill>
              </fill>
            </x14:dxf>
          </x14:cfRule>
          <x14:cfRule type="expression" priority="21" id="{5A43AE2C-3A2F-454A-8192-CF220D6FA6E7}">
            <xm:f>NOT(ROUND('\Точеная О.И\[2019.12.04 - 2019 ПФХД, СОШ 28.xlsx]2 - 2020'!#REF!,2)=0)</xm:f>
            <x14:dxf>
              <fill>
                <patternFill>
                  <bgColor theme="5" tint="0.59996337778862885"/>
                </patternFill>
              </fill>
            </x14:dxf>
          </x14:cfRule>
          <x14:cfRule type="expression" priority="22" id="{A8619732-EB0E-43A0-8F5B-DD56DD741F28}">
            <xm:f>NOT(ROUND('\Точеная О.И\[2019.12.04 - 2019 ПФХД, СОШ 28.xlsx]2 - 2019'!#REF!,2)=0)</xm:f>
            <x14:dxf>
              <fill>
                <patternFill>
                  <bgColor theme="5" tint="0.59996337778862885"/>
                </patternFill>
              </fill>
            </x14:dxf>
          </x14:cfRule>
          <xm:sqref>E126:G126</xm:sqref>
        </x14:conditionalFormatting>
        <x14:conditionalFormatting xmlns:xm="http://schemas.microsoft.com/office/excel/2006/main">
          <x14:cfRule type="expression" priority="18" id="{B124B428-89B6-4C0B-8520-A00EDA21BBD4}">
            <xm:f>AND($B$1=$E$2,SUM('\Точеная О.И\[2019.12.04 - 2019 ПФХД, СОШ 28.xlsx]6.6'!#REF!)&gt;'\Точеная О.И\[2019.12.04 - 2019 ПФХД, СОШ 28.xlsx]6.6'!#REF!)</xm:f>
            <x14:dxf>
              <fill>
                <patternFill>
                  <bgColor theme="5" tint="0.59996337778862885"/>
                </patternFill>
              </fill>
            </x14:dxf>
          </x14:cfRule>
          <xm:sqref>F79:G80</xm:sqref>
        </x14:conditionalFormatting>
        <x14:conditionalFormatting xmlns:xm="http://schemas.microsoft.com/office/excel/2006/main">
          <x14:cfRule type="expression" priority="17" id="{81CD0CDC-4C95-4A81-8291-FF6E23A2AB82}">
            <xm:f>AND($B$1=$E$2,SUM('\Точеная О.И\[2019.12.04 - 2019 ПФХД, СОШ 28.xlsx]6.7'!#REF!)&gt;'\Точеная О.И\[2019.12.04 - 2019 ПФХД, СОШ 28.xlsx]6.7'!#REF!)</xm:f>
            <x14:dxf>
              <fill>
                <patternFill>
                  <bgColor theme="5" tint="0.59996337778862885"/>
                </patternFill>
              </fill>
            </x14:dxf>
          </x14:cfRule>
          <xm:sqref>F86:G86 F116:G116 F120:G122 F124 F91:G92</xm:sqref>
        </x14:conditionalFormatting>
        <x14:conditionalFormatting xmlns:xm="http://schemas.microsoft.com/office/excel/2006/main">
          <x14:cfRule type="expression" priority="16" id="{FEA4BCCD-8E77-4541-B21D-2F3052633D12}">
            <xm:f>AND($B$1=$E$2,SUM('\Точеная О.И\[2019.12.04 - 2019 ПФХД, СОШ 28.xlsx]6.6'!#REF!)&gt;'\Точеная О.И\[2019.12.04 - 2019 ПФХД, СОШ 28.xlsx]6.6'!#REF!)</xm:f>
            <x14:dxf>
              <fill>
                <patternFill>
                  <bgColor theme="5" tint="0.59996337778862885"/>
                </patternFill>
              </fill>
            </x14:dxf>
          </x14:cfRule>
          <xm:sqref>E79:E80</xm:sqref>
        </x14:conditionalFormatting>
        <x14:conditionalFormatting xmlns:xm="http://schemas.microsoft.com/office/excel/2006/main">
          <x14:cfRule type="expression" priority="15" id="{C80FA5F0-5164-47EA-BDA5-4E1FE323B988}">
            <xm:f>AND($B$1=$E$2,SUM('\Точеная О.И\[2019.12.04 - 2019 ПФХД, СОШ 28.xlsx]6.7'!#REF!)&gt;'\Точеная О.И\[2019.12.04 - 2019 ПФХД, СОШ 28.xlsx]6.7'!#REF!)</xm:f>
            <x14:dxf>
              <fill>
                <patternFill>
                  <bgColor theme="5" tint="0.59996337778862885"/>
                </patternFill>
              </fill>
            </x14:dxf>
          </x14:cfRule>
          <xm:sqref>E86 E116</xm:sqref>
        </x14:conditionalFormatting>
        <x14:conditionalFormatting xmlns:xm="http://schemas.microsoft.com/office/excel/2006/main">
          <x14:cfRule type="expression" priority="14" id="{CB1D2A4C-272E-4E0F-87FB-01BDB1D20369}">
            <xm:f>AND($B$1=$E$2,SUM('\Точеная О.И\[2019.12.04 - 2019 ПФХД, СОШ 28.xlsx]6.7'!#REF!)&gt;'\Точеная О.И\[2019.12.04 - 2019 ПФХД, СОШ 28.xlsx]6.7'!#REF!)</xm:f>
            <x14:dxf>
              <fill>
                <patternFill>
                  <bgColor theme="5" tint="0.59996337778862885"/>
                </patternFill>
              </fill>
            </x14:dxf>
          </x14:cfRule>
          <xm:sqref>E120 E91</xm:sqref>
        </x14:conditionalFormatting>
        <x14:conditionalFormatting xmlns:xm="http://schemas.microsoft.com/office/excel/2006/main">
          <x14:cfRule type="expression" priority="13" id="{C6817B34-AC27-4274-ACC8-1EEA969A9CA3}">
            <xm:f>AND($B$1=$E$2,SUM('\Точеная О.И\[2019.12.04 - 2019 ПФХД, СОШ 28.xlsx]6.7'!#REF!)&gt;'\Точеная О.И\[2019.12.04 - 2019 ПФХД, СОШ 28.xlsx]6.7'!#REF!)</xm:f>
            <x14:dxf>
              <fill>
                <patternFill>
                  <bgColor theme="5" tint="0.59996337778862885"/>
                </patternFill>
              </fill>
            </x14:dxf>
          </x14:cfRule>
          <xm:sqref>E121 E92</xm:sqref>
        </x14:conditionalFormatting>
        <x14:conditionalFormatting xmlns:xm="http://schemas.microsoft.com/office/excel/2006/main">
          <x14:cfRule type="expression" priority="12" id="{0F39761A-D645-4C97-A4D4-C22BF4B85761}">
            <xm:f>AND($B$1=$E$2,SUM('\Точеная О.И\[2019.12.04 - 2019 ПФХД, СОШ 28.xlsx]6.7'!#REF!)&gt;'\Точеная О.И\[2019.12.04 - 2019 ПФХД, СОШ 28.xlsx]6.7'!#REF!)</xm:f>
            <x14:dxf>
              <fill>
                <patternFill>
                  <bgColor theme="5" tint="0.59996337778862885"/>
                </patternFill>
              </fill>
            </x14:dxf>
          </x14:cfRule>
          <xm:sqref>E122 E93:G93</xm:sqref>
        </x14:conditionalFormatting>
        <x14:conditionalFormatting xmlns:xm="http://schemas.microsoft.com/office/excel/2006/main">
          <x14:cfRule type="expression" priority="11" id="{079C9CB0-0FC2-41D6-9B3F-44A908B503E0}">
            <xm:f>AND($B$1=$E$2,SUM('\Точеная О.И\[2019.12.04 - 2019 ПФХД, СОШ 28.xlsx]6.7'!#REF!)&gt;'\Точеная О.И\[2019.12.04 - 2019 ПФХД, СОШ 28.xlsx]6.7'!#REF!)</xm:f>
            <x14:dxf>
              <fill>
                <patternFill>
                  <bgColor theme="5" tint="0.59996337778862885"/>
                </patternFill>
              </fill>
            </x14:dxf>
          </x14:cfRule>
          <xm:sqref>E124 E95:G96</xm:sqref>
        </x14:conditionalFormatting>
        <x14:conditionalFormatting xmlns:xm="http://schemas.microsoft.com/office/excel/2006/main">
          <x14:cfRule type="expression" priority="10" id="{EA57355A-AFFA-4196-BC1B-3EFCD263B32E}">
            <xm:f>AND($B$1=$E$2,SUM('\Точеная О.И\[2019.12.04 - 2019 ПФХД, СОШ 28.xlsx]6.6'!#REF!)&gt;'\Точеная О.И\[2019.12.04 - 2019 ПФХД, СОШ 28.xlsx]6.6'!#REF!)</xm:f>
            <x14:dxf>
              <fill>
                <patternFill>
                  <bgColor theme="5" tint="0.59996337778862885"/>
                </patternFill>
              </fill>
            </x14:dxf>
          </x14:cfRule>
          <xm:sqref>F83:G83</xm:sqref>
        </x14:conditionalFormatting>
        <x14:conditionalFormatting xmlns:xm="http://schemas.microsoft.com/office/excel/2006/main">
          <x14:cfRule type="expression" priority="9" id="{46463427-88CB-4657-80DF-624A6CACC849}">
            <xm:f>AND($B$1=$E$2,SUM('\Точеная О.И\[2019.12.04 - 2019 ПФХД, СОШ 28.xlsx]6.6'!#REF!)&gt;'\Точеная О.И\[2019.12.04 - 2019 ПФХД, СОШ 28.xlsx]6.6'!#REF!)</xm:f>
            <x14:dxf>
              <fill>
                <patternFill>
                  <bgColor theme="5" tint="0.59996337778862885"/>
                </patternFill>
              </fill>
            </x14:dxf>
          </x14:cfRule>
          <xm:sqref>E83</xm:sqref>
        </x14:conditionalFormatting>
        <x14:conditionalFormatting xmlns:xm="http://schemas.microsoft.com/office/excel/2006/main">
          <x14:cfRule type="expression" priority="8" id="{1DD06F11-2529-48D2-961E-8108662BA7FC}">
            <xm:f>AND($B$1=$E$2,SUM('\Точеная О.И\[2019.12.04 - 2019 ПФХД, СОШ 28.xlsx]6.6'!#REF!)&gt;'\Точеная О.И\[2019.12.04 - 2019 ПФХД, СОШ 28.xlsx]6.6'!#REF!)</xm:f>
            <x14:dxf>
              <fill>
                <patternFill>
                  <bgColor theme="5" tint="0.59996337778862885"/>
                </patternFill>
              </fill>
            </x14:dxf>
          </x14:cfRule>
          <xm:sqref>F75:G75</xm:sqref>
        </x14:conditionalFormatting>
        <x14:conditionalFormatting xmlns:xm="http://schemas.microsoft.com/office/excel/2006/main">
          <x14:cfRule type="expression" priority="7" id="{4C4B3A2B-2676-4D36-9F7B-183D97D4A582}">
            <xm:f>AND($B$1=$E$2,SUM('\Точеная О.И\[2019.12.04 - 2019 ПФХД, СОШ 28.xlsx]6.6'!#REF!)&gt;'\Точеная О.И\[2019.12.04 - 2019 ПФХД, СОШ 28.xlsx]6.6'!#REF!)</xm:f>
            <x14:dxf>
              <fill>
                <patternFill>
                  <bgColor theme="5" tint="0.59996337778862885"/>
                </patternFill>
              </fill>
            </x14:dxf>
          </x14:cfRule>
          <xm:sqref>E75</xm:sqref>
        </x14:conditionalFormatting>
        <x14:conditionalFormatting xmlns:xm="http://schemas.microsoft.com/office/excel/2006/main">
          <x14:cfRule type="expression" priority="6" id="{BB841502-EDA0-4B84-B08C-1D7278BEB717}">
            <xm:f>AND($B$1=$E$2,SUM('\Точеная О.И\[2019.12.04 - 2019 ПФХД, СОШ 28.xlsx]6.7'!#REF!)&gt;'\Точеная О.И\[2019.12.04 - 2019 ПФХД, СОШ 28.xlsx]6.7'!#REF!)</xm:f>
            <x14:dxf>
              <fill>
                <patternFill>
                  <bgColor theme="5" tint="0.59996337778862885"/>
                </patternFill>
              </fill>
            </x14:dxf>
          </x14:cfRule>
          <xm:sqref>F76:G76</xm:sqref>
        </x14:conditionalFormatting>
        <x14:conditionalFormatting xmlns:xm="http://schemas.microsoft.com/office/excel/2006/main">
          <x14:cfRule type="expression" priority="5" id="{64854734-0D29-4AD7-849E-B1F7443E163E}">
            <xm:f>AND($B$1=$E$2,SUM('\Точеная О.И\[2019.12.04 - 2019 ПФХД, СОШ 28.xlsx]6.7'!#REF!)&gt;'\Точеная О.И\[2019.12.04 - 2019 ПФХД, СОШ 28.xlsx]6.7'!#REF!)</xm:f>
            <x14:dxf>
              <fill>
                <patternFill>
                  <bgColor theme="5" tint="0.59996337778862885"/>
                </patternFill>
              </fill>
            </x14:dxf>
          </x14:cfRule>
          <xm:sqref>E76</xm:sqref>
        </x14:conditionalFormatting>
        <x14:conditionalFormatting xmlns:xm="http://schemas.microsoft.com/office/excel/2006/main">
          <x14:cfRule type="expression" priority="4" id="{053B22C3-F534-42DB-9D68-C3E376D7E8C4}">
            <xm:f>AND($B$1=$E$2,SUM('\Точеная О.И\[2019.12.04 - 2019 ПФХД, СОШ 28.xlsx]6.7'!#REF!)&gt;'\Точеная О.И\[2019.12.04 - 2019 ПФХД, СОШ 28.xlsx]6.7'!#REF!)</xm:f>
            <x14:dxf>
              <fill>
                <patternFill>
                  <bgColor theme="5" tint="0.59996337778862885"/>
                </patternFill>
              </fill>
            </x14:dxf>
          </x14:cfRule>
          <xm:sqref>F87:G87</xm:sqref>
        </x14:conditionalFormatting>
        <x14:conditionalFormatting xmlns:xm="http://schemas.microsoft.com/office/excel/2006/main">
          <x14:cfRule type="expression" priority="3" id="{C7678AE5-445F-401C-8F85-9CF5916C5448}">
            <xm:f>AND($B$1=$E$2,SUM('\Точеная О.И\[2019.12.04 - 2019 ПФХД, СОШ 28.xlsx]6.7'!#REF!)&gt;'\Точеная О.И\[2019.12.04 - 2019 ПФХД, СОШ 28.xlsx]6.7'!#REF!)</xm:f>
            <x14:dxf>
              <fill>
                <patternFill>
                  <bgColor theme="5" tint="0.59996337778862885"/>
                </patternFill>
              </fill>
            </x14:dxf>
          </x14:cfRule>
          <xm:sqref>E87</xm:sqref>
        </x14:conditionalFormatting>
        <x14:conditionalFormatting xmlns:xm="http://schemas.microsoft.com/office/excel/2006/main">
          <x14:cfRule type="expression" priority="2" id="{B259F980-A9AE-4C95-B395-39E65EE73FEC}">
            <xm:f>AND($B$1=$E$2,SUM('\Точеная О.И\[2019.12.04 - 2019 ПФХД, СОШ 28.xlsx]6.6'!#REF!)&gt;'\Точеная О.И\[2019.12.04 - 2019 ПФХД, СОШ 28.xlsx]6.6'!#REF!)</xm:f>
            <x14:dxf>
              <fill>
                <patternFill>
                  <bgColor theme="5" tint="0.59996337778862885"/>
                </patternFill>
              </fill>
            </x14:dxf>
          </x14:cfRule>
          <xm:sqref>F81:G82</xm:sqref>
        </x14:conditionalFormatting>
        <x14:conditionalFormatting xmlns:xm="http://schemas.microsoft.com/office/excel/2006/main">
          <x14:cfRule type="expression" priority="1" id="{7F3CC537-07CA-462A-88AA-1095D4C7A112}">
            <xm:f>AND($B$1=$E$2,SUM('\Точеная О.И\[2019.12.04 - 2019 ПФХД, СОШ 28.xlsx]6.6'!#REF!)&gt;'\Точеная О.И\[2019.12.04 - 2019 ПФХД, СОШ 28.xlsx]6.6'!#REF!)</xm:f>
            <x14:dxf>
              <fill>
                <patternFill>
                  <bgColor theme="5" tint="0.59996337778862885"/>
                </patternFill>
              </fill>
            </x14:dxf>
          </x14:cfRule>
          <xm:sqref>E81:E82</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10"/>
  <dimension ref="A1:W192"/>
  <sheetViews>
    <sheetView view="pageBreakPreview" topLeftCell="A19" zoomScale="60" zoomScaleNormal="70" workbookViewId="0">
      <selection activeCell="E55" sqref="E55:H55"/>
    </sheetView>
  </sheetViews>
  <sheetFormatPr defaultRowHeight="15.75" x14ac:dyDescent="0.25"/>
  <cols>
    <col min="1" max="1" width="11.28515625" customWidth="1"/>
    <col min="2" max="2" width="4.85546875" style="507" customWidth="1"/>
    <col min="3" max="3" width="41.140625" customWidth="1"/>
    <col min="4" max="4" width="12.42578125" customWidth="1"/>
    <col min="5" max="16" width="12.7109375" customWidth="1"/>
    <col min="17" max="19" width="9.140625" style="533"/>
    <col min="20" max="20" width="9.140625" style="378"/>
  </cols>
  <sheetData>
    <row r="1" spans="1:20" s="449" customFormat="1" ht="27.75" customHeight="1" x14ac:dyDescent="0.2">
      <c r="A1" s="1281" t="s">
        <v>679</v>
      </c>
      <c r="B1" s="1281"/>
      <c r="C1" s="1281"/>
      <c r="D1" s="1281"/>
      <c r="E1" s="1281"/>
      <c r="F1" s="1281"/>
      <c r="G1" s="1281"/>
      <c r="H1" s="1281"/>
      <c r="I1" s="1281"/>
      <c r="J1" s="1281"/>
      <c r="K1" s="1281"/>
      <c r="L1" s="1281"/>
      <c r="M1" s="1281"/>
      <c r="N1" s="1281"/>
      <c r="O1" s="1281"/>
      <c r="P1" s="1281"/>
      <c r="Q1" s="523"/>
      <c r="R1" s="523"/>
      <c r="S1" s="523"/>
      <c r="T1" s="448"/>
    </row>
    <row r="2" spans="1:20" s="449" customFormat="1" ht="27.75" customHeight="1" x14ac:dyDescent="0.2">
      <c r="A2" s="1134" t="s">
        <v>613</v>
      </c>
      <c r="B2" s="1134"/>
      <c r="C2" s="1134"/>
      <c r="D2" s="1134"/>
      <c r="E2" s="1134"/>
      <c r="F2" s="1134"/>
      <c r="G2" s="1134"/>
      <c r="H2" s="1134"/>
      <c r="I2" s="1134"/>
      <c r="J2" s="1134"/>
      <c r="K2" s="1134"/>
      <c r="L2" s="1134"/>
      <c r="M2" s="1134"/>
      <c r="N2" s="1134"/>
      <c r="O2" s="1134"/>
      <c r="P2" s="1134"/>
      <c r="Q2" s="523"/>
      <c r="R2" s="523"/>
      <c r="S2" s="523"/>
      <c r="T2" s="448"/>
    </row>
    <row r="3" spans="1:20" s="449" customFormat="1" ht="27.75" customHeight="1" x14ac:dyDescent="0.2">
      <c r="A3" s="989" t="s">
        <v>614</v>
      </c>
      <c r="B3" s="989"/>
      <c r="C3" s="989"/>
      <c r="D3" s="989"/>
      <c r="E3" s="989"/>
      <c r="F3" s="989"/>
      <c r="G3" s="989"/>
      <c r="H3" s="989"/>
      <c r="I3" s="989"/>
      <c r="J3" s="989"/>
      <c r="K3" s="989"/>
      <c r="L3" s="989"/>
      <c r="M3" s="989"/>
      <c r="N3" s="989"/>
      <c r="O3" s="989"/>
      <c r="P3" s="989"/>
      <c r="Q3" s="523"/>
      <c r="R3" s="523"/>
      <c r="S3" s="523"/>
      <c r="T3" s="448"/>
    </row>
    <row r="4" spans="1:20" s="331" customFormat="1" ht="12" customHeight="1" x14ac:dyDescent="0.2">
      <c r="B4" s="506"/>
      <c r="P4" s="362"/>
      <c r="Q4" s="531"/>
      <c r="R4" s="531"/>
      <c r="S4" s="531"/>
      <c r="T4" s="376"/>
    </row>
    <row r="5" spans="1:20" s="331" customFormat="1" ht="33.75" customHeight="1" x14ac:dyDescent="0.2">
      <c r="A5" s="1034" t="s">
        <v>598</v>
      </c>
      <c r="B5" s="1000" t="s">
        <v>484</v>
      </c>
      <c r="C5" s="1282" t="s">
        <v>610</v>
      </c>
      <c r="D5" s="1283"/>
      <c r="E5" s="1176" t="s">
        <v>831</v>
      </c>
      <c r="F5" s="1177"/>
      <c r="G5" s="1177"/>
      <c r="H5" s="1262"/>
      <c r="I5" s="1179" t="s">
        <v>825</v>
      </c>
      <c r="J5" s="1180"/>
      <c r="K5" s="1180"/>
      <c r="L5" s="1181"/>
      <c r="M5" s="1190" t="s">
        <v>823</v>
      </c>
      <c r="N5" s="1180"/>
      <c r="O5" s="1180"/>
      <c r="P5" s="1181"/>
      <c r="Q5" s="531"/>
      <c r="R5" s="531"/>
      <c r="S5" s="531"/>
      <c r="T5" s="376"/>
    </row>
    <row r="6" spans="1:20" s="331" customFormat="1" ht="38.25" x14ac:dyDescent="0.2">
      <c r="A6" s="1035"/>
      <c r="B6" s="1036"/>
      <c r="C6" s="1284"/>
      <c r="D6" s="1285"/>
      <c r="E6" s="402" t="s">
        <v>615</v>
      </c>
      <c r="F6" s="403" t="s">
        <v>612</v>
      </c>
      <c r="G6" s="403" t="s">
        <v>616</v>
      </c>
      <c r="H6" s="404" t="s">
        <v>553</v>
      </c>
      <c r="I6" s="405" t="s">
        <v>615</v>
      </c>
      <c r="J6" s="403" t="s">
        <v>612</v>
      </c>
      <c r="K6" s="403" t="s">
        <v>616</v>
      </c>
      <c r="L6" s="406" t="s">
        <v>553</v>
      </c>
      <c r="M6" s="402" t="s">
        <v>615</v>
      </c>
      <c r="N6" s="403" t="s">
        <v>612</v>
      </c>
      <c r="O6" s="403" t="s">
        <v>616</v>
      </c>
      <c r="P6" s="406" t="s">
        <v>553</v>
      </c>
      <c r="Q6" s="531"/>
      <c r="R6" s="531"/>
      <c r="S6" s="531"/>
      <c r="T6" s="376"/>
    </row>
    <row r="7" spans="1:20" s="426" customFormat="1" ht="12.75" x14ac:dyDescent="0.2">
      <c r="A7" s="756" t="s">
        <v>6</v>
      </c>
      <c r="B7" s="733" t="s">
        <v>7</v>
      </c>
      <c r="C7" s="1004" t="s">
        <v>8</v>
      </c>
      <c r="D7" s="1005"/>
      <c r="E7" s="746" t="s">
        <v>9</v>
      </c>
      <c r="F7" s="744" t="s">
        <v>10</v>
      </c>
      <c r="G7" s="744" t="s">
        <v>467</v>
      </c>
      <c r="H7" s="761" t="s">
        <v>617</v>
      </c>
      <c r="I7" s="756" t="s">
        <v>465</v>
      </c>
      <c r="J7" s="744" t="s">
        <v>464</v>
      </c>
      <c r="K7" s="744" t="s">
        <v>463</v>
      </c>
      <c r="L7" s="747" t="s">
        <v>618</v>
      </c>
      <c r="M7" s="746" t="s">
        <v>469</v>
      </c>
      <c r="N7" s="744" t="s">
        <v>574</v>
      </c>
      <c r="O7" s="744" t="s">
        <v>619</v>
      </c>
      <c r="P7" s="747" t="s">
        <v>620</v>
      </c>
      <c r="Q7" s="779"/>
      <c r="R7" s="779"/>
      <c r="S7" s="779"/>
      <c r="T7" s="376"/>
    </row>
    <row r="8" spans="1:20" s="334" customFormat="1" ht="27.75" customHeight="1" x14ac:dyDescent="0.2">
      <c r="A8" s="452">
        <v>244</v>
      </c>
      <c r="B8" s="450">
        <v>1</v>
      </c>
      <c r="C8" s="1186" t="s">
        <v>802</v>
      </c>
      <c r="D8" s="1244"/>
      <c r="E8" s="463">
        <v>1</v>
      </c>
      <c r="F8" s="464">
        <f>IFERROR(ROUND(H8/G8,2),0)</f>
        <v>2688.17</v>
      </c>
      <c r="G8" s="580">
        <v>1.86</v>
      </c>
      <c r="H8" s="678">
        <f>H13-SUM(H9:H12)</f>
        <v>5000</v>
      </c>
      <c r="I8" s="465">
        <v>1</v>
      </c>
      <c r="J8" s="464">
        <f>IFERROR(ROUND(L8/K8,2),0)</f>
        <v>2688.17</v>
      </c>
      <c r="K8" s="580">
        <v>1.86</v>
      </c>
      <c r="L8" s="581">
        <f>L13-SUM(L9:L12)</f>
        <v>5000</v>
      </c>
      <c r="M8" s="463">
        <v>1</v>
      </c>
      <c r="N8" s="464">
        <f>IFERROR(ROUND(P8/O8,2),0)</f>
        <v>2688.17</v>
      </c>
      <c r="O8" s="580">
        <v>1.86</v>
      </c>
      <c r="P8" s="581">
        <f>P13-SUM(P9:P12)</f>
        <v>5000</v>
      </c>
      <c r="Q8" s="523"/>
      <c r="R8" s="523"/>
      <c r="S8" s="523"/>
      <c r="T8" s="379"/>
    </row>
    <row r="9" spans="1:20" s="334" customFormat="1" ht="34.15" customHeight="1" x14ac:dyDescent="0.2">
      <c r="A9" s="486">
        <v>244</v>
      </c>
      <c r="B9" s="491">
        <v>2</v>
      </c>
      <c r="C9" s="1167" t="s">
        <v>680</v>
      </c>
      <c r="D9" s="1240"/>
      <c r="E9" s="649"/>
      <c r="F9" s="647"/>
      <c r="G9" s="655"/>
      <c r="H9" s="677">
        <f>E9*F9*G9</f>
        <v>0</v>
      </c>
      <c r="I9" s="646"/>
      <c r="J9" s="647"/>
      <c r="K9" s="655"/>
      <c r="L9" s="656">
        <f>I9*J9*K9</f>
        <v>0</v>
      </c>
      <c r="M9" s="649"/>
      <c r="N9" s="647"/>
      <c r="O9" s="655"/>
      <c r="P9" s="656">
        <f>M9*N9*O9</f>
        <v>0</v>
      </c>
      <c r="Q9" s="523"/>
      <c r="R9" s="523"/>
      <c r="S9" s="523"/>
      <c r="T9" s="379"/>
    </row>
    <row r="10" spans="1:20" s="334" customFormat="1" ht="27.75" customHeight="1" x14ac:dyDescent="0.2">
      <c r="A10" s="452">
        <v>244</v>
      </c>
      <c r="B10" s="450">
        <v>3</v>
      </c>
      <c r="C10" s="1186" t="s">
        <v>684</v>
      </c>
      <c r="D10" s="1244"/>
      <c r="E10" s="463"/>
      <c r="F10" s="464"/>
      <c r="G10" s="580"/>
      <c r="H10" s="678">
        <f t="shared" ref="H10:H12" si="0">E10*F10*G10</f>
        <v>0</v>
      </c>
      <c r="I10" s="465"/>
      <c r="J10" s="464"/>
      <c r="K10" s="580"/>
      <c r="L10" s="581">
        <f t="shared" ref="L10:L12" si="1">I10*J10*K10</f>
        <v>0</v>
      </c>
      <c r="M10" s="463"/>
      <c r="N10" s="464"/>
      <c r="O10" s="580"/>
      <c r="P10" s="581">
        <f t="shared" ref="P10:P12" si="2">M10*N10*O10</f>
        <v>0</v>
      </c>
      <c r="Q10" s="523"/>
      <c r="R10" s="523"/>
      <c r="S10" s="523"/>
      <c r="T10" s="379"/>
    </row>
    <row r="11" spans="1:20" s="334" customFormat="1" ht="27.75" customHeight="1" x14ac:dyDescent="0.2">
      <c r="A11" s="452">
        <v>244</v>
      </c>
      <c r="B11" s="450">
        <v>4</v>
      </c>
      <c r="C11" s="1186" t="s">
        <v>685</v>
      </c>
      <c r="D11" s="1244"/>
      <c r="E11" s="463"/>
      <c r="F11" s="464"/>
      <c r="G11" s="580"/>
      <c r="H11" s="678">
        <f t="shared" si="0"/>
        <v>0</v>
      </c>
      <c r="I11" s="465"/>
      <c r="J11" s="464"/>
      <c r="K11" s="580"/>
      <c r="L11" s="581">
        <f t="shared" si="1"/>
        <v>0</v>
      </c>
      <c r="M11" s="463"/>
      <c r="N11" s="464"/>
      <c r="O11" s="580"/>
      <c r="P11" s="581">
        <f t="shared" si="2"/>
        <v>0</v>
      </c>
      <c r="Q11" s="523"/>
      <c r="R11" s="523"/>
      <c r="S11" s="523"/>
      <c r="T11" s="379"/>
    </row>
    <row r="12" spans="1:20" s="334" customFormat="1" ht="27.75" customHeight="1" x14ac:dyDescent="0.2">
      <c r="A12" s="452">
        <v>244</v>
      </c>
      <c r="B12" s="450">
        <v>5</v>
      </c>
      <c r="C12" s="1186" t="s">
        <v>686</v>
      </c>
      <c r="D12" s="1244"/>
      <c r="E12" s="463"/>
      <c r="F12" s="464"/>
      <c r="G12" s="580"/>
      <c r="H12" s="678">
        <f t="shared" si="0"/>
        <v>0</v>
      </c>
      <c r="I12" s="465"/>
      <c r="J12" s="464"/>
      <c r="K12" s="580"/>
      <c r="L12" s="581">
        <f t="shared" si="1"/>
        <v>0</v>
      </c>
      <c r="M12" s="463"/>
      <c r="N12" s="464"/>
      <c r="O12" s="580"/>
      <c r="P12" s="581">
        <f t="shared" si="2"/>
        <v>0</v>
      </c>
      <c r="Q12" s="523"/>
      <c r="R12" s="523"/>
      <c r="S12" s="523"/>
      <c r="T12" s="379"/>
    </row>
    <row r="13" spans="1:20" s="334" customFormat="1" ht="27.75" customHeight="1" x14ac:dyDescent="0.2">
      <c r="A13" s="508"/>
      <c r="B13" s="509"/>
      <c r="C13" s="1258" t="s">
        <v>611</v>
      </c>
      <c r="D13" s="1259"/>
      <c r="E13" s="510" t="s">
        <v>462</v>
      </c>
      <c r="F13" s="511" t="s">
        <v>462</v>
      </c>
      <c r="G13" s="511" t="s">
        <v>462</v>
      </c>
      <c r="H13" s="679">
        <f>SUMIFS(Титульный!$E$13:$E$157,
Титульный!$A$13:$A$157,'Расходы КФО 2'!$Q13,
Титульный!$B$13:$B$157,'Расходы КФО 2'!$R13,
Титульный!$D$13:$D$157,'Расходы КФО 2'!$S13)</f>
        <v>5000</v>
      </c>
      <c r="I13" s="512" t="s">
        <v>462</v>
      </c>
      <c r="J13" s="511" t="s">
        <v>462</v>
      </c>
      <c r="K13" s="511" t="s">
        <v>462</v>
      </c>
      <c r="L13" s="670">
        <f>SUMIFS(Титульный!$F$13:$F$157,
Титульный!$A$13:$A$157,'Расходы КФО 2'!$Q13,
Титульный!$B$13:$B$157,'Расходы КФО 2'!$R13,
Титульный!$D$13:$D$157,'Расходы КФО 2'!$S13)</f>
        <v>5000</v>
      </c>
      <c r="M13" s="510" t="s">
        <v>462</v>
      </c>
      <c r="N13" s="511" t="s">
        <v>462</v>
      </c>
      <c r="O13" s="511" t="s">
        <v>462</v>
      </c>
      <c r="P13" s="670">
        <f>SUMIFS(Титульный!$G$13:$G$157,
Титульный!$A$13:$A$157,'Расходы КФО 2'!$Q13,
Титульный!$B$13:$B$157,'Расходы КФО 2'!$R13,
Титульный!$D$13:$D$157,'Расходы КФО 2'!$S13)</f>
        <v>5000</v>
      </c>
      <c r="Q13" s="523">
        <v>2</v>
      </c>
      <c r="R13" s="523">
        <v>244</v>
      </c>
      <c r="S13" s="523">
        <v>221</v>
      </c>
      <c r="T13" s="379"/>
    </row>
    <row r="14" spans="1:20" s="331" customFormat="1" ht="12" customHeight="1" x14ac:dyDescent="0.2">
      <c r="B14" s="506"/>
      <c r="G14" s="331">
        <f>FIND("2021",E5)</f>
        <v>4</v>
      </c>
      <c r="P14" s="362"/>
      <c r="Q14" s="531"/>
      <c r="R14" s="531"/>
      <c r="S14" s="531"/>
      <c r="T14" s="376"/>
    </row>
    <row r="15" spans="1:20" s="374" customFormat="1" ht="12" customHeight="1" x14ac:dyDescent="0.2">
      <c r="B15" s="506"/>
      <c r="Q15" s="531"/>
      <c r="R15" s="531"/>
      <c r="S15" s="531"/>
      <c r="T15" s="376"/>
    </row>
    <row r="16" spans="1:20" s="374" customFormat="1" ht="12" customHeight="1" x14ac:dyDescent="0.2">
      <c r="B16" s="506"/>
      <c r="Q16" s="531"/>
      <c r="R16" s="531"/>
      <c r="S16" s="531"/>
      <c r="T16" s="376"/>
    </row>
    <row r="17" spans="1:21" s="449" customFormat="1" ht="27.75" customHeight="1" x14ac:dyDescent="0.2">
      <c r="A17" s="989" t="s">
        <v>621</v>
      </c>
      <c r="B17" s="989"/>
      <c r="C17" s="989"/>
      <c r="D17" s="989"/>
      <c r="E17" s="989"/>
      <c r="F17" s="989"/>
      <c r="G17" s="989"/>
      <c r="H17" s="989"/>
      <c r="I17" s="989"/>
      <c r="J17" s="989"/>
      <c r="K17" s="989"/>
      <c r="L17" s="989"/>
      <c r="M17" s="989"/>
      <c r="N17" s="989"/>
      <c r="O17" s="989"/>
      <c r="P17" s="989"/>
      <c r="Q17" s="523"/>
      <c r="R17" s="523"/>
      <c r="S17" s="523"/>
      <c r="T17" s="448"/>
    </row>
    <row r="18" spans="1:21" s="331" customFormat="1" ht="12" customHeight="1" x14ac:dyDescent="0.2">
      <c r="B18" s="506"/>
      <c r="P18" s="362"/>
      <c r="Q18" s="531"/>
      <c r="R18" s="531"/>
      <c r="S18" s="531"/>
      <c r="T18" s="376"/>
    </row>
    <row r="19" spans="1:21" s="331" customFormat="1" ht="33" customHeight="1" x14ac:dyDescent="0.2">
      <c r="A19" s="1034" t="s">
        <v>598</v>
      </c>
      <c r="B19" s="1000" t="s">
        <v>484</v>
      </c>
      <c r="C19" s="1282" t="s">
        <v>610</v>
      </c>
      <c r="D19" s="1283"/>
      <c r="E19" s="1176" t="s">
        <v>831</v>
      </c>
      <c r="F19" s="1177"/>
      <c r="G19" s="1177"/>
      <c r="H19" s="1262"/>
      <c r="I19" s="1179" t="s">
        <v>825</v>
      </c>
      <c r="J19" s="1180"/>
      <c r="K19" s="1180"/>
      <c r="L19" s="1181"/>
      <c r="M19" s="1190" t="s">
        <v>823</v>
      </c>
      <c r="N19" s="1180"/>
      <c r="O19" s="1180"/>
      <c r="P19" s="1181"/>
      <c r="Q19" s="531"/>
      <c r="R19" s="531"/>
      <c r="S19" s="531"/>
      <c r="T19" s="376"/>
    </row>
    <row r="20" spans="1:21" s="331" customFormat="1" ht="51" x14ac:dyDescent="0.2">
      <c r="A20" s="1035"/>
      <c r="B20" s="1036"/>
      <c r="C20" s="1284"/>
      <c r="D20" s="1285"/>
      <c r="E20" s="399" t="s">
        <v>622</v>
      </c>
      <c r="F20" s="400" t="s">
        <v>623</v>
      </c>
      <c r="G20" s="1203" t="s">
        <v>553</v>
      </c>
      <c r="H20" s="1204"/>
      <c r="I20" s="399" t="s">
        <v>622</v>
      </c>
      <c r="J20" s="400" t="s">
        <v>623</v>
      </c>
      <c r="K20" s="1203" t="s">
        <v>553</v>
      </c>
      <c r="L20" s="1204"/>
      <c r="M20" s="399" t="s">
        <v>622</v>
      </c>
      <c r="N20" s="400" t="s">
        <v>623</v>
      </c>
      <c r="O20" s="1203" t="s">
        <v>553</v>
      </c>
      <c r="P20" s="1204"/>
      <c r="Q20" s="531"/>
      <c r="R20" s="531"/>
      <c r="S20" s="531"/>
      <c r="T20" s="376"/>
    </row>
    <row r="21" spans="1:21" s="333" customFormat="1" ht="12.75" x14ac:dyDescent="0.2">
      <c r="A21" s="756" t="s">
        <v>6</v>
      </c>
      <c r="B21" s="761" t="s">
        <v>7</v>
      </c>
      <c r="C21" s="1260" t="s">
        <v>8</v>
      </c>
      <c r="D21" s="1261"/>
      <c r="E21" s="756">
        <v>4</v>
      </c>
      <c r="F21" s="744">
        <v>5</v>
      </c>
      <c r="G21" s="1004" t="s">
        <v>784</v>
      </c>
      <c r="H21" s="1005"/>
      <c r="I21" s="756">
        <v>7</v>
      </c>
      <c r="J21" s="744">
        <v>8</v>
      </c>
      <c r="K21" s="1004" t="s">
        <v>785</v>
      </c>
      <c r="L21" s="1005"/>
      <c r="M21" s="756" t="s">
        <v>463</v>
      </c>
      <c r="N21" s="744" t="s">
        <v>468</v>
      </c>
      <c r="O21" s="1004" t="s">
        <v>556</v>
      </c>
      <c r="P21" s="1005"/>
      <c r="Q21" s="778"/>
      <c r="R21" s="778"/>
      <c r="S21" s="778"/>
      <c r="T21" s="377"/>
    </row>
    <row r="22" spans="1:21" s="334" customFormat="1" ht="27.75" customHeight="1" x14ac:dyDescent="0.2">
      <c r="A22" s="486">
        <v>244</v>
      </c>
      <c r="B22" s="497" t="s">
        <v>6</v>
      </c>
      <c r="C22" s="1167" t="s">
        <v>682</v>
      </c>
      <c r="D22" s="1167"/>
      <c r="E22" s="646">
        <f>ROUNDUP(G22/10000,0)</f>
        <v>0</v>
      </c>
      <c r="F22" s="655">
        <f>IFERROR(ROUND(G22/E22,2),0)</f>
        <v>0</v>
      </c>
      <c r="G22" s="1069">
        <f>G23</f>
        <v>0</v>
      </c>
      <c r="H22" s="1071"/>
      <c r="I22" s="646">
        <f>ROUNDUP(K22/10000,0)</f>
        <v>0</v>
      </c>
      <c r="J22" s="655">
        <f>IFERROR(ROUND(K22/I22,2),0)</f>
        <v>0</v>
      </c>
      <c r="K22" s="1069">
        <f>K23</f>
        <v>0</v>
      </c>
      <c r="L22" s="1071"/>
      <c r="M22" s="646">
        <f>ROUNDUP(O22/10000,0)</f>
        <v>0</v>
      </c>
      <c r="N22" s="655">
        <f>IFERROR(ROUND(O22/M22,2),0)</f>
        <v>0</v>
      </c>
      <c r="O22" s="1069">
        <f>O23</f>
        <v>0</v>
      </c>
      <c r="P22" s="1071"/>
      <c r="Q22" s="523"/>
      <c r="R22" s="523"/>
      <c r="S22" s="523"/>
      <c r="T22" s="379"/>
    </row>
    <row r="23" spans="1:21" s="524" customFormat="1" ht="27.75" customHeight="1" x14ac:dyDescent="0.2">
      <c r="A23" s="508"/>
      <c r="B23" s="515"/>
      <c r="C23" s="1258" t="s">
        <v>611</v>
      </c>
      <c r="D23" s="1259"/>
      <c r="E23" s="512" t="s">
        <v>462</v>
      </c>
      <c r="F23" s="511" t="s">
        <v>462</v>
      </c>
      <c r="G23" s="1008">
        <f>SUMIFS(Титульный!$E$13:$E$157,Титульный!$A$13:$A$157,'Расходы КФО 2'!$Q23,Титульный!$B$13:$B$157,'Расходы КФО 2'!$R23,Титульный!$D$13:$D$157,'Расходы КФО 2'!$S23)</f>
        <v>0</v>
      </c>
      <c r="H23" s="1009">
        <f>SUMIFS(Титульный!$E$13:$E$157,Титульный!$A$13:$A$157,'Расходы КФО 2'!$Q23,Титульный!$B$13:$B$157,'Расходы КФО 2'!$R23,Титульный!$D$13:$D$157,'Расходы КФО 2'!$S23)</f>
        <v>0</v>
      </c>
      <c r="I23" s="512" t="s">
        <v>462</v>
      </c>
      <c r="J23" s="511" t="s">
        <v>462</v>
      </c>
      <c r="K23" s="1008">
        <f>SUMIFS(Титульный!$F$13:$F$157,
Титульный!$A$13:$A$157,'Расходы КФО 2'!$Q23,
Титульный!$B$13:$B$157,'Расходы КФО 2'!$R23,
Титульный!$D$13:$D$157,'Расходы КФО 2'!$S23)</f>
        <v>0</v>
      </c>
      <c r="L23" s="1009">
        <f>SUMIFS(Титульный!$F$13:$F$157,
Титульный!$A$13:$A$157,'Расходы КФО 2'!$Q23,
Титульный!$B$13:$B$157,'Расходы КФО 2'!$R23,
Титульный!$D$13:$D$157,'Расходы КФО 2'!$S23)</f>
        <v>0</v>
      </c>
      <c r="M23" s="512" t="s">
        <v>462</v>
      </c>
      <c r="N23" s="511" t="s">
        <v>462</v>
      </c>
      <c r="O23" s="1008">
        <f>SUMIFS(Титульный!$G$13:$G$157,
Титульный!$A$13:$A$157,'Расходы КФО 2'!$Q23,
Титульный!$B$13:$B$157,'Расходы КФО 2'!$R23,
Титульный!$D$13:$D$157,'Расходы КФО 2'!$S23)</f>
        <v>0</v>
      </c>
      <c r="P23" s="1009">
        <f>SUMIFS(Титульный!$G$13:$G$157,
Титульный!$A$13:$A$157,'Расходы КФО 2'!$Q23,
Титульный!$B$13:$B$157,'Расходы КФО 2'!$R23,
Титульный!$D$13:$D$157,'Расходы КФО 2'!$S23)</f>
        <v>0</v>
      </c>
      <c r="Q23" s="523">
        <v>2</v>
      </c>
      <c r="R23" s="523">
        <v>244</v>
      </c>
      <c r="S23" s="523">
        <v>222</v>
      </c>
      <c r="T23" s="523"/>
    </row>
    <row r="24" spans="1:21" s="331" customFormat="1" ht="12" customHeight="1" x14ac:dyDescent="0.2">
      <c r="B24" s="506"/>
      <c r="P24" s="362"/>
      <c r="Q24" s="531"/>
      <c r="R24" s="531"/>
      <c r="S24" s="531"/>
      <c r="T24" s="376"/>
    </row>
    <row r="25" spans="1:21" s="374" customFormat="1" ht="12" customHeight="1" x14ac:dyDescent="0.2">
      <c r="B25" s="506"/>
      <c r="Q25" s="531"/>
      <c r="R25" s="531"/>
      <c r="S25" s="531"/>
      <c r="T25" s="376"/>
    </row>
    <row r="26" spans="1:21" s="374" customFormat="1" ht="12" customHeight="1" x14ac:dyDescent="0.2">
      <c r="B26" s="506"/>
      <c r="Q26" s="531"/>
      <c r="R26" s="531"/>
      <c r="S26" s="531"/>
      <c r="T26" s="376"/>
    </row>
    <row r="27" spans="1:21" s="449" customFormat="1" ht="27.75" customHeight="1" x14ac:dyDescent="0.2">
      <c r="A27" s="989" t="s">
        <v>624</v>
      </c>
      <c r="B27" s="989"/>
      <c r="C27" s="989"/>
      <c r="D27" s="989"/>
      <c r="E27" s="989"/>
      <c r="F27" s="989"/>
      <c r="G27" s="989"/>
      <c r="H27" s="989"/>
      <c r="I27" s="989"/>
      <c r="J27" s="989"/>
      <c r="K27" s="989"/>
      <c r="L27" s="989"/>
      <c r="M27" s="989"/>
      <c r="N27" s="989"/>
      <c r="O27" s="989"/>
      <c r="P27" s="989"/>
      <c r="Q27" s="523"/>
      <c r="R27" s="523"/>
      <c r="S27" s="523"/>
      <c r="T27" s="448"/>
    </row>
    <row r="28" spans="1:21" s="331" customFormat="1" ht="12" customHeight="1" x14ac:dyDescent="0.2">
      <c r="B28" s="506"/>
      <c r="P28" s="362"/>
      <c r="Q28" s="531"/>
      <c r="R28" s="531"/>
      <c r="S28" s="531"/>
      <c r="T28" s="376"/>
    </row>
    <row r="29" spans="1:21" s="331" customFormat="1" ht="33.75" customHeight="1" x14ac:dyDescent="0.2">
      <c r="A29" s="1034" t="s">
        <v>598</v>
      </c>
      <c r="B29" s="1000" t="s">
        <v>484</v>
      </c>
      <c r="C29" s="1208" t="s">
        <v>0</v>
      </c>
      <c r="D29" s="1064" t="s">
        <v>229</v>
      </c>
      <c r="E29" s="1176" t="s">
        <v>831</v>
      </c>
      <c r="F29" s="1177"/>
      <c r="G29" s="1177"/>
      <c r="H29" s="1262"/>
      <c r="I29" s="1179" t="s">
        <v>825</v>
      </c>
      <c r="J29" s="1180"/>
      <c r="K29" s="1180"/>
      <c r="L29" s="1181"/>
      <c r="M29" s="1190" t="s">
        <v>823</v>
      </c>
      <c r="N29" s="1180"/>
      <c r="O29" s="1180"/>
      <c r="P29" s="1181"/>
      <c r="Q29" s="531"/>
      <c r="R29" s="531"/>
      <c r="S29" s="531"/>
      <c r="T29" s="376"/>
    </row>
    <row r="30" spans="1:21" s="331" customFormat="1" ht="38.25" x14ac:dyDescent="0.2">
      <c r="A30" s="1035"/>
      <c r="B30" s="1036"/>
      <c r="C30" s="1214"/>
      <c r="D30" s="1066"/>
      <c r="E30" s="399" t="s">
        <v>625</v>
      </c>
      <c r="F30" s="400" t="s">
        <v>626</v>
      </c>
      <c r="G30" s="1203" t="s">
        <v>553</v>
      </c>
      <c r="H30" s="1204"/>
      <c r="I30" s="399" t="s">
        <v>625</v>
      </c>
      <c r="J30" s="400" t="s">
        <v>626</v>
      </c>
      <c r="K30" s="1203" t="s">
        <v>553</v>
      </c>
      <c r="L30" s="1204"/>
      <c r="M30" s="399" t="s">
        <v>625</v>
      </c>
      <c r="N30" s="400" t="s">
        <v>626</v>
      </c>
      <c r="O30" s="1203" t="s">
        <v>553</v>
      </c>
      <c r="P30" s="1204"/>
      <c r="Q30" s="531"/>
      <c r="R30" s="531"/>
      <c r="S30" s="531"/>
      <c r="T30" s="376"/>
      <c r="U30" s="374"/>
    </row>
    <row r="31" spans="1:21" s="333" customFormat="1" ht="12.75" x14ac:dyDescent="0.2">
      <c r="A31" s="756" t="s">
        <v>6</v>
      </c>
      <c r="B31" s="761" t="s">
        <v>7</v>
      </c>
      <c r="C31" s="744" t="s">
        <v>8</v>
      </c>
      <c r="D31" s="747" t="s">
        <v>9</v>
      </c>
      <c r="E31" s="756">
        <v>5</v>
      </c>
      <c r="F31" s="744">
        <v>6</v>
      </c>
      <c r="G31" s="1004" t="s">
        <v>786</v>
      </c>
      <c r="H31" s="1005"/>
      <c r="I31" s="756">
        <v>8</v>
      </c>
      <c r="J31" s="744">
        <v>9</v>
      </c>
      <c r="K31" s="1004" t="s">
        <v>787</v>
      </c>
      <c r="L31" s="1005"/>
      <c r="M31" s="756">
        <v>11</v>
      </c>
      <c r="N31" s="744">
        <v>12</v>
      </c>
      <c r="O31" s="1004" t="s">
        <v>788</v>
      </c>
      <c r="P31" s="1005"/>
      <c r="Q31" s="778"/>
      <c r="R31" s="778"/>
      <c r="S31" s="778"/>
      <c r="T31" s="377"/>
    </row>
    <row r="32" spans="1:21" s="334" customFormat="1" ht="27.75" customHeight="1" x14ac:dyDescent="0.2">
      <c r="A32" s="475">
        <v>247</v>
      </c>
      <c r="B32" s="476" t="s">
        <v>6</v>
      </c>
      <c r="C32" s="477" t="s">
        <v>628</v>
      </c>
      <c r="D32" s="478" t="s">
        <v>790</v>
      </c>
      <c r="E32" s="752">
        <f>ROUND(G32/F32,2)</f>
        <v>23.43</v>
      </c>
      <c r="F32" s="753">
        <v>4024.91</v>
      </c>
      <c r="G32" s="1147">
        <f>SUMIFS(Титульный!$E$13:$E$157,Титульный!$A$13:$A$157,'Расходы КФО 2'!$Q32,Титульный!$B$13:$B$157,'Расходы КФО 2'!$R32,Титульный!$D$13:$D$157,'Расходы КФО 2'!$S32)*0.82</f>
        <v>94300</v>
      </c>
      <c r="H32" s="1050"/>
      <c r="I32" s="752">
        <f>ROUND(K32/J32,2)</f>
        <v>22.55</v>
      </c>
      <c r="J32" s="753">
        <f>4024.91*1.039</f>
        <v>4181.8814899999998</v>
      </c>
      <c r="K32" s="1147">
        <f>SUMIFS(Титульный!$F$13:$F$157,
Титульный!$A$13:$A$157,'Расходы КФО 2'!$Q32,
Титульный!$B$13:$B$157,'Расходы КФО 2'!$R32,
Титульный!$D$13:$D$157,'Расходы КФО 2'!$S32)*0.82</f>
        <v>94300</v>
      </c>
      <c r="L32" s="1050"/>
      <c r="M32" s="752">
        <f>ROUND(O32/N32,2)</f>
        <v>21.7</v>
      </c>
      <c r="N32" s="753">
        <f>J32*1.039</f>
        <v>4344.9748681099991</v>
      </c>
      <c r="O32" s="1147">
        <f>SUMIFS(Титульный!$G$13:$G$157,
Титульный!$A$13:$A$157,'Расходы КФО 2'!$Q32,
Титульный!$B$13:$B$157,'Расходы КФО 2'!$R32,
Титульный!$D$13:$D$157,'Расходы КФО 2'!$S32)*0.82</f>
        <v>94300</v>
      </c>
      <c r="P32" s="1050"/>
      <c r="Q32" s="523">
        <v>2</v>
      </c>
      <c r="R32" s="523">
        <v>247</v>
      </c>
      <c r="S32" s="523">
        <v>223</v>
      </c>
      <c r="T32" s="379"/>
    </row>
    <row r="33" spans="1:22" s="334" customFormat="1" ht="27.75" customHeight="1" x14ac:dyDescent="0.2">
      <c r="A33" s="452">
        <v>247</v>
      </c>
      <c r="B33" s="451" t="s">
        <v>7</v>
      </c>
      <c r="C33" s="479" t="s">
        <v>627</v>
      </c>
      <c r="D33" s="453" t="s">
        <v>789</v>
      </c>
      <c r="E33" s="755">
        <f t="shared" ref="E33:E35" si="3">ROUND(G33/F33,2)</f>
        <v>3426.81</v>
      </c>
      <c r="F33" s="745">
        <v>6.0406000000000004</v>
      </c>
      <c r="G33" s="1238">
        <f>SUMIFS(Титульный!$E$13:$E$157,Титульный!$A$13:$A$157,'Расходы КФО 2'!$Q33,Титульный!$B$13:$B$157,'Расходы КФО 2'!$R33,Титульный!$D$13:$D$157,'Расходы КФО 2'!$S33)*0.18</f>
        <v>20700</v>
      </c>
      <c r="H33" s="1239"/>
      <c r="I33" s="755">
        <f t="shared" ref="I33:I35" si="4">ROUND(K33/J33,2)</f>
        <v>3298.18</v>
      </c>
      <c r="J33" s="745">
        <f>F33*1.039</f>
        <v>6.2761833999999999</v>
      </c>
      <c r="K33" s="1238">
        <f>SUMIFS(Титульный!$F$13:$F$157,
Титульный!$A$13:$A$157,'Расходы КФО 2'!$Q33,
Титульный!$B$13:$B$157,'Расходы КФО 2'!$R33,
Титульный!$D$13:$D$157,'Расходы КФО 2'!$S33)*0.18</f>
        <v>20700</v>
      </c>
      <c r="L33" s="1239"/>
      <c r="M33" s="755">
        <f t="shared" ref="M33:M35" si="5">ROUND(O33/N33,2)</f>
        <v>3174.38</v>
      </c>
      <c r="N33" s="745">
        <f>J33*1.039</f>
        <v>6.5209545525999992</v>
      </c>
      <c r="O33" s="1238">
        <f>SUMIFS(Титульный!$G$13:$G$157,
Титульный!$A$13:$A$157,'Расходы КФО 2'!$Q33,
Титульный!$B$13:$B$157,'Расходы КФО 2'!$R33,
Титульный!$D$13:$D$157,'Расходы КФО 2'!$S33)*0.18</f>
        <v>20700</v>
      </c>
      <c r="P33" s="1239"/>
      <c r="Q33" s="523">
        <v>2</v>
      </c>
      <c r="R33" s="523">
        <v>247</v>
      </c>
      <c r="S33" s="523">
        <v>223</v>
      </c>
      <c r="T33" s="379"/>
    </row>
    <row r="34" spans="1:22" s="334" customFormat="1" ht="27.75" customHeight="1" x14ac:dyDescent="0.2">
      <c r="A34" s="452">
        <v>244</v>
      </c>
      <c r="B34" s="451" t="s">
        <v>8</v>
      </c>
      <c r="C34" s="760" t="s">
        <v>629</v>
      </c>
      <c r="D34" s="453" t="s">
        <v>791</v>
      </c>
      <c r="E34" s="755">
        <f t="shared" si="3"/>
        <v>365.45</v>
      </c>
      <c r="F34" s="745">
        <v>57.463200000000001</v>
      </c>
      <c r="G34" s="1238">
        <f>SUMIFS(Титульный!$E$13:$E$157,Титульный!$A$13:$A$157,'Расходы КФО 2'!$Q34,Титульный!$B$13:$B$157,'Расходы КФО 2'!$R34,Титульный!$D$13:$D$157,'Расходы КФО 2'!$S34)*0.7</f>
        <v>21000</v>
      </c>
      <c r="H34" s="1239"/>
      <c r="I34" s="755">
        <f t="shared" si="4"/>
        <v>351.73</v>
      </c>
      <c r="J34" s="745">
        <f>F34*1.039</f>
        <v>59.704264799999997</v>
      </c>
      <c r="K34" s="1238">
        <f>SUMIFS(Титульный!$F$13:$F$157,
Титульный!$A$13:$A$157,'Расходы КФО 2'!$Q34,
Титульный!$B$13:$B$157,'Расходы КФО 2'!$R34,
Титульный!$D$13:$D$157,'Расходы КФО 2'!$S34)*0.7</f>
        <v>21000</v>
      </c>
      <c r="L34" s="1239"/>
      <c r="M34" s="755">
        <f t="shared" si="5"/>
        <v>338.53</v>
      </c>
      <c r="N34" s="745">
        <f>J34*1.039</f>
        <v>62.032731127199995</v>
      </c>
      <c r="O34" s="1238">
        <f>SUMIFS(Титульный!$G$13:$G$157,
Титульный!$A$13:$A$157,'Расходы КФО 2'!$Q34,
Титульный!$B$13:$B$157,'Расходы КФО 2'!$R34,
Титульный!$D$13:$D$157,'Расходы КФО 2'!$S34)*0.7</f>
        <v>21000</v>
      </c>
      <c r="P34" s="1239"/>
      <c r="Q34" s="523">
        <v>2</v>
      </c>
      <c r="R34" s="523">
        <v>244</v>
      </c>
      <c r="S34" s="523">
        <v>223</v>
      </c>
      <c r="T34" s="379"/>
    </row>
    <row r="35" spans="1:22" s="334" customFormat="1" ht="27.75" customHeight="1" x14ac:dyDescent="0.2">
      <c r="A35" s="493">
        <v>244</v>
      </c>
      <c r="B35" s="496" t="s">
        <v>9</v>
      </c>
      <c r="C35" s="763" t="s">
        <v>630</v>
      </c>
      <c r="D35" s="484" t="s">
        <v>791</v>
      </c>
      <c r="E35" s="749">
        <f t="shared" si="3"/>
        <v>10.38</v>
      </c>
      <c r="F35" s="750">
        <v>866.95</v>
      </c>
      <c r="G35" s="1148">
        <f>SUMIFS(Титульный!$E$13:$E$157,Титульный!$A$13:$A$157,'Расходы КФО 2'!$Q35,Титульный!$B$13:$B$157,'Расходы КФО 2'!$R35,Титульный!$D$13:$D$157,'Расходы КФО 2'!$S35)*0.3</f>
        <v>9000</v>
      </c>
      <c r="H35" s="1149"/>
      <c r="I35" s="749">
        <f t="shared" si="4"/>
        <v>10.38</v>
      </c>
      <c r="J35" s="750">
        <v>866.95</v>
      </c>
      <c r="K35" s="1148">
        <f>SUMIFS(Титульный!$F$13:$F$157,
Титульный!$A$13:$A$157,'Расходы КФО 2'!$Q35,
Титульный!$B$13:$B$157,'Расходы КФО 2'!$R35,
Титульный!$D$13:$D$157,'Расходы КФО 2'!$S35)*0.3</f>
        <v>9000</v>
      </c>
      <c r="L35" s="1149"/>
      <c r="M35" s="749">
        <f t="shared" si="5"/>
        <v>10.38</v>
      </c>
      <c r="N35" s="750">
        <v>866.95</v>
      </c>
      <c r="O35" s="1148">
        <f>SUMIFS(Титульный!$G$13:$G$157,
Титульный!$A$13:$A$157,'Расходы КФО 2'!$Q35,
Титульный!$B$13:$B$157,'Расходы КФО 2'!$R35,
Титульный!$D$13:$D$157,'Расходы КФО 2'!$S35)*0.3</f>
        <v>9000</v>
      </c>
      <c r="P35" s="1149"/>
      <c r="Q35" s="523">
        <v>2</v>
      </c>
      <c r="R35" s="523">
        <v>244</v>
      </c>
      <c r="S35" s="523">
        <v>223</v>
      </c>
      <c r="T35" s="379"/>
    </row>
    <row r="36" spans="1:22" s="334" customFormat="1" ht="27.75" hidden="1" customHeight="1" x14ac:dyDescent="0.2">
      <c r="A36" s="494"/>
      <c r="B36" s="774"/>
      <c r="C36" s="775"/>
      <c r="D36" s="776"/>
      <c r="E36" s="777"/>
      <c r="F36" s="675"/>
      <c r="G36" s="1252"/>
      <c r="H36" s="1253"/>
      <c r="I36" s="777"/>
      <c r="J36" s="675"/>
      <c r="K36" s="1252"/>
      <c r="L36" s="1253"/>
      <c r="M36" s="777"/>
      <c r="N36" s="675"/>
      <c r="O36" s="1252"/>
      <c r="P36" s="1253"/>
      <c r="Q36" s="523"/>
      <c r="R36" s="523"/>
      <c r="S36" s="523"/>
      <c r="T36" s="379"/>
    </row>
    <row r="37" spans="1:22" s="524" customFormat="1" ht="27.75" customHeight="1" x14ac:dyDescent="0.2">
      <c r="A37" s="514"/>
      <c r="B37" s="515"/>
      <c r="C37" s="485" t="s">
        <v>611</v>
      </c>
      <c r="D37" s="516" t="s">
        <v>462</v>
      </c>
      <c r="E37" s="512" t="s">
        <v>462</v>
      </c>
      <c r="F37" s="511" t="s">
        <v>462</v>
      </c>
      <c r="G37" s="1008">
        <f>SUM(G32:H35)</f>
        <v>145000</v>
      </c>
      <c r="H37" s="1009">
        <f>SUMIFS(Титульный!$E$13:$E$157,Титульный!$A$13:$A$157,'Расходы КФО 2'!$Q37,Титульный!$B$13:$B$157,'Расходы КФО 2'!$R37,Титульный!$D$13:$D$157,'Расходы КФО 2'!$S37)</f>
        <v>0</v>
      </c>
      <c r="I37" s="512" t="s">
        <v>462</v>
      </c>
      <c r="J37" s="511" t="s">
        <v>462</v>
      </c>
      <c r="K37" s="1008">
        <f>SUM(K32:L35)</f>
        <v>145000</v>
      </c>
      <c r="L37" s="1009">
        <f>SUMIFS(Титульный!$F$13:$F$157,
Титульный!$A$13:$A$157,'Расходы КФО 2'!$Q37,
Титульный!$B$13:$B$157,'Расходы КФО 2'!$R37,
Титульный!$D$13:$D$157,'Расходы КФО 2'!$S37)</f>
        <v>0</v>
      </c>
      <c r="M37" s="512" t="s">
        <v>462</v>
      </c>
      <c r="N37" s="511" t="s">
        <v>462</v>
      </c>
      <c r="O37" s="1008">
        <f>SUM(O32:P35)</f>
        <v>145000</v>
      </c>
      <c r="P37" s="1009">
        <f>SUMIFS(Титульный!$G$13:$G$157,
Титульный!$A$13:$A$157,'Расходы КФО 2'!$Q37,
Титульный!$B$13:$B$157,'Расходы КФО 2'!$R37,
Титульный!$D$13:$D$157,'Расходы КФО 2'!$S37)</f>
        <v>0</v>
      </c>
      <c r="Q37" s="523"/>
      <c r="R37" s="523"/>
      <c r="S37" s="523"/>
      <c r="T37" s="523"/>
    </row>
    <row r="38" spans="1:22" s="331" customFormat="1" ht="12" customHeight="1" x14ac:dyDescent="0.2">
      <c r="B38" s="506"/>
      <c r="P38" s="362"/>
      <c r="Q38" s="531"/>
      <c r="R38" s="531"/>
      <c r="S38" s="531"/>
      <c r="T38" s="376"/>
      <c r="V38" s="374"/>
    </row>
    <row r="39" spans="1:22" s="374" customFormat="1" ht="12" customHeight="1" x14ac:dyDescent="0.2">
      <c r="B39" s="506"/>
      <c r="Q39" s="531"/>
      <c r="R39" s="531"/>
      <c r="S39" s="531"/>
      <c r="T39" s="376"/>
    </row>
    <row r="40" spans="1:22" s="374" customFormat="1" ht="12" customHeight="1" x14ac:dyDescent="0.2">
      <c r="B40" s="506"/>
      <c r="Q40" s="531"/>
      <c r="R40" s="531"/>
      <c r="S40" s="531"/>
      <c r="T40" s="376"/>
    </row>
    <row r="41" spans="1:22" s="449" customFormat="1" ht="27.75" customHeight="1" x14ac:dyDescent="0.2">
      <c r="A41" s="989" t="s">
        <v>631</v>
      </c>
      <c r="B41" s="989"/>
      <c r="C41" s="989"/>
      <c r="D41" s="989"/>
      <c r="E41" s="989"/>
      <c r="F41" s="989"/>
      <c r="G41" s="989"/>
      <c r="H41" s="989"/>
      <c r="I41" s="989"/>
      <c r="J41" s="989"/>
      <c r="K41" s="989"/>
      <c r="L41" s="989"/>
      <c r="M41" s="989"/>
      <c r="N41" s="989"/>
      <c r="O41" s="989"/>
      <c r="P41" s="989"/>
      <c r="Q41" s="523"/>
      <c r="R41" s="523"/>
      <c r="S41" s="523"/>
      <c r="T41" s="448"/>
    </row>
    <row r="42" spans="1:22" s="331" customFormat="1" ht="12" customHeight="1" x14ac:dyDescent="0.2">
      <c r="B42" s="506"/>
      <c r="P42" s="362"/>
      <c r="Q42" s="531"/>
      <c r="R42" s="531"/>
      <c r="S42" s="531"/>
      <c r="T42" s="376"/>
    </row>
    <row r="43" spans="1:22" s="331" customFormat="1" ht="33" customHeight="1" x14ac:dyDescent="0.2">
      <c r="A43" s="1034" t="s">
        <v>598</v>
      </c>
      <c r="B43" s="1000" t="s">
        <v>484</v>
      </c>
      <c r="C43" s="1208" t="s">
        <v>610</v>
      </c>
      <c r="D43" s="1037"/>
      <c r="E43" s="1176" t="s">
        <v>831</v>
      </c>
      <c r="F43" s="1177"/>
      <c r="G43" s="1177"/>
      <c r="H43" s="1178"/>
      <c r="I43" s="1179" t="s">
        <v>825</v>
      </c>
      <c r="J43" s="1180"/>
      <c r="K43" s="1180"/>
      <c r="L43" s="1181"/>
      <c r="M43" s="1190" t="s">
        <v>823</v>
      </c>
      <c r="N43" s="1180"/>
      <c r="O43" s="1180"/>
      <c r="P43" s="1181"/>
      <c r="Q43" s="531"/>
      <c r="R43" s="531"/>
      <c r="S43" s="531"/>
      <c r="T43" s="376"/>
    </row>
    <row r="44" spans="1:22" s="331" customFormat="1" ht="51" x14ac:dyDescent="0.2">
      <c r="A44" s="1035"/>
      <c r="B44" s="1036"/>
      <c r="C44" s="1245"/>
      <c r="D44" s="1254"/>
      <c r="E44" s="411" t="s">
        <v>632</v>
      </c>
      <c r="F44" s="412" t="s">
        <v>633</v>
      </c>
      <c r="G44" s="1263" t="s">
        <v>553</v>
      </c>
      <c r="H44" s="1264"/>
      <c r="I44" s="411" t="s">
        <v>632</v>
      </c>
      <c r="J44" s="412" t="s">
        <v>633</v>
      </c>
      <c r="K44" s="1263" t="s">
        <v>553</v>
      </c>
      <c r="L44" s="1264"/>
      <c r="M44" s="414" t="s">
        <v>632</v>
      </c>
      <c r="N44" s="412" t="s">
        <v>633</v>
      </c>
      <c r="O44" s="1263" t="s">
        <v>553</v>
      </c>
      <c r="P44" s="1264"/>
      <c r="Q44" s="531"/>
      <c r="R44" s="531"/>
      <c r="S44" s="531"/>
      <c r="T44" s="376"/>
    </row>
    <row r="45" spans="1:22" s="426" customFormat="1" ht="12.75" x14ac:dyDescent="0.2">
      <c r="A45" s="756" t="s">
        <v>6</v>
      </c>
      <c r="B45" s="744" t="s">
        <v>7</v>
      </c>
      <c r="C45" s="1247" t="s">
        <v>8</v>
      </c>
      <c r="D45" s="1248"/>
      <c r="E45" s="756">
        <v>4</v>
      </c>
      <c r="F45" s="744">
        <v>5</v>
      </c>
      <c r="G45" s="1004" t="s">
        <v>784</v>
      </c>
      <c r="H45" s="1005"/>
      <c r="I45" s="756">
        <v>7</v>
      </c>
      <c r="J45" s="744">
        <v>8</v>
      </c>
      <c r="K45" s="1004" t="s">
        <v>785</v>
      </c>
      <c r="L45" s="1005"/>
      <c r="M45" s="756" t="s">
        <v>463</v>
      </c>
      <c r="N45" s="744" t="s">
        <v>468</v>
      </c>
      <c r="O45" s="1004" t="s">
        <v>556</v>
      </c>
      <c r="P45" s="1005"/>
      <c r="Q45" s="779"/>
      <c r="R45" s="779"/>
      <c r="S45" s="779"/>
      <c r="T45" s="376"/>
    </row>
    <row r="46" spans="1:22" s="334" customFormat="1" ht="27.75" customHeight="1" x14ac:dyDescent="0.2">
      <c r="A46" s="486">
        <v>244</v>
      </c>
      <c r="B46" s="491" t="s">
        <v>6</v>
      </c>
      <c r="C46" s="1167" t="s">
        <v>264</v>
      </c>
      <c r="D46" s="1255"/>
      <c r="E46" s="680"/>
      <c r="F46" s="655"/>
      <c r="G46" s="1069">
        <f>Титульный!E24</f>
        <v>0</v>
      </c>
      <c r="H46" s="1071"/>
      <c r="I46" s="680"/>
      <c r="J46" s="655"/>
      <c r="K46" s="1069">
        <f>Титульный!F24</f>
        <v>0</v>
      </c>
      <c r="L46" s="1071"/>
      <c r="M46" s="654"/>
      <c r="N46" s="655"/>
      <c r="O46" s="1069">
        <f>Титульный!G24</f>
        <v>0</v>
      </c>
      <c r="P46" s="1071"/>
      <c r="Q46" s="523"/>
      <c r="R46" s="523"/>
      <c r="S46" s="523"/>
      <c r="T46" s="379"/>
    </row>
    <row r="47" spans="1:22" s="334" customFormat="1" ht="27.75" customHeight="1" x14ac:dyDescent="0.2">
      <c r="A47" s="452">
        <v>244</v>
      </c>
      <c r="B47" s="450" t="s">
        <v>7</v>
      </c>
      <c r="C47" s="1186" t="s">
        <v>265</v>
      </c>
      <c r="D47" s="1256"/>
      <c r="E47" s="604"/>
      <c r="F47" s="580"/>
      <c r="G47" s="1002">
        <f>Титульный!E25</f>
        <v>0</v>
      </c>
      <c r="H47" s="1003"/>
      <c r="I47" s="604"/>
      <c r="J47" s="580"/>
      <c r="K47" s="1002">
        <f>Титульный!F25</f>
        <v>0</v>
      </c>
      <c r="L47" s="1003"/>
      <c r="M47" s="605"/>
      <c r="N47" s="580"/>
      <c r="O47" s="1002">
        <f>Титульный!G25</f>
        <v>0</v>
      </c>
      <c r="P47" s="1003"/>
      <c r="Q47" s="523"/>
      <c r="R47" s="523"/>
      <c r="S47" s="523"/>
      <c r="T47" s="379"/>
    </row>
    <row r="48" spans="1:22" s="334" customFormat="1" ht="27.75" customHeight="1" x14ac:dyDescent="0.2">
      <c r="A48" s="493">
        <v>244</v>
      </c>
      <c r="B48" s="502" t="s">
        <v>8</v>
      </c>
      <c r="C48" s="1257" t="s">
        <v>683</v>
      </c>
      <c r="D48" s="1154"/>
      <c r="E48" s="606"/>
      <c r="F48" s="586"/>
      <c r="G48" s="1006">
        <f>G49-SUM(G46:H47)</f>
        <v>0</v>
      </c>
      <c r="H48" s="1007"/>
      <c r="I48" s="606"/>
      <c r="J48" s="586"/>
      <c r="K48" s="1006">
        <f>K49-SUM(K46:L47)</f>
        <v>0</v>
      </c>
      <c r="L48" s="1007"/>
      <c r="M48" s="607"/>
      <c r="N48" s="586"/>
      <c r="O48" s="1006">
        <f>O49-SUM(O46:P47)</f>
        <v>0</v>
      </c>
      <c r="P48" s="1007"/>
      <c r="Q48" s="523"/>
      <c r="R48" s="523"/>
      <c r="S48" s="523"/>
      <c r="T48" s="379"/>
    </row>
    <row r="49" spans="1:22" s="524" customFormat="1" ht="27.75" customHeight="1" x14ac:dyDescent="0.2">
      <c r="A49" s="517"/>
      <c r="B49" s="518"/>
      <c r="C49" s="1249" t="s">
        <v>611</v>
      </c>
      <c r="D49" s="1250"/>
      <c r="E49" s="519" t="s">
        <v>462</v>
      </c>
      <c r="F49" s="520" t="s">
        <v>462</v>
      </c>
      <c r="G49" s="1043">
        <f>SUMIFS(Титульный!$E$13:$E$157,Титульный!$A$13:$A$157,'Расходы КФО 2'!$Q49,Титульный!$B$13:$B$157,'Расходы КФО 2'!$R49,Титульный!$D$13:$D$157,'Расходы КФО 2'!$S49)</f>
        <v>0</v>
      </c>
      <c r="H49" s="1044">
        <f>SUMIFS(Титульный!$E$13:$E$157,Титульный!$A$13:$A$157,'Расходы КФО 2'!$Q49,Титульный!$B$13:$B$157,'Расходы КФО 2'!$R49,Титульный!$D$13:$D$157,'Расходы КФО 2'!$S49)</f>
        <v>0</v>
      </c>
      <c r="I49" s="519" t="s">
        <v>462</v>
      </c>
      <c r="J49" s="520" t="s">
        <v>462</v>
      </c>
      <c r="K49" s="1043">
        <f>SUMIFS(Титульный!$F$13:$F$157,
Титульный!$A$13:$A$157,'Расходы КФО 2'!$Q49,
Титульный!$B$13:$B$157,'Расходы КФО 2'!$R49,
Титульный!$D$13:$D$157,'Расходы КФО 2'!$S49)</f>
        <v>0</v>
      </c>
      <c r="L49" s="1044">
        <f>SUMIFS(Титульный!$F$13:$F$157,
Титульный!$A$13:$A$157,'Расходы КФО 2'!$Q49,
Титульный!$B$13:$B$157,'Расходы КФО 2'!$R49,
Титульный!$D$13:$D$157,'Расходы КФО 2'!$S49)</f>
        <v>0</v>
      </c>
      <c r="M49" s="521" t="s">
        <v>462</v>
      </c>
      <c r="N49" s="520" t="s">
        <v>462</v>
      </c>
      <c r="O49" s="1043">
        <f>SUMIFS(Титульный!$G$13:$G$157,
Титульный!$A$13:$A$157,'Расходы КФО 2'!$Q49,
Титульный!$B$13:$B$157,'Расходы КФО 2'!$R49,
Титульный!$D$13:$D$157,'Расходы КФО 2'!$S49)</f>
        <v>0</v>
      </c>
      <c r="P49" s="1044">
        <f>SUMIFS(Титульный!$G$13:$G$157,
Титульный!$A$13:$A$157,'Расходы КФО 2'!$Q49,
Титульный!$B$13:$B$157,'Расходы КФО 2'!$R49,
Титульный!$D$13:$D$157,'Расходы КФО 2'!$S49)</f>
        <v>0</v>
      </c>
      <c r="Q49" s="523">
        <v>2</v>
      </c>
      <c r="R49" s="523">
        <v>244</v>
      </c>
      <c r="S49" s="523">
        <v>224</v>
      </c>
      <c r="T49" s="523"/>
    </row>
    <row r="50" spans="1:22" s="331" customFormat="1" ht="12" customHeight="1" x14ac:dyDescent="0.2">
      <c r="B50" s="506"/>
      <c r="D50" s="362"/>
      <c r="E50" s="362"/>
      <c r="F50" s="362"/>
      <c r="G50" s="362"/>
      <c r="H50" s="362"/>
      <c r="I50" s="362"/>
      <c r="J50" s="362"/>
      <c r="K50" s="362"/>
      <c r="L50" s="362"/>
      <c r="M50" s="362"/>
      <c r="N50" s="362"/>
      <c r="O50" s="362"/>
      <c r="P50" s="362"/>
      <c r="Q50" s="531"/>
      <c r="R50" s="531"/>
      <c r="S50" s="531"/>
      <c r="T50" s="376"/>
    </row>
    <row r="51" spans="1:22" s="374" customFormat="1" ht="12" customHeight="1" x14ac:dyDescent="0.2">
      <c r="B51" s="506"/>
      <c r="Q51" s="531"/>
      <c r="R51" s="531"/>
      <c r="S51" s="531"/>
      <c r="T51" s="376"/>
    </row>
    <row r="52" spans="1:22" s="374" customFormat="1" ht="12" customHeight="1" x14ac:dyDescent="0.2">
      <c r="B52" s="506"/>
      <c r="Q52" s="531"/>
      <c r="R52" s="531"/>
      <c r="S52" s="531"/>
      <c r="T52" s="376"/>
    </row>
    <row r="53" spans="1:22" s="449" customFormat="1" ht="27.75" customHeight="1" x14ac:dyDescent="0.2">
      <c r="A53" s="989" t="s">
        <v>634</v>
      </c>
      <c r="B53" s="989"/>
      <c r="C53" s="989"/>
      <c r="D53" s="989"/>
      <c r="E53" s="989"/>
      <c r="F53" s="989"/>
      <c r="G53" s="989"/>
      <c r="H53" s="989"/>
      <c r="I53" s="989"/>
      <c r="J53" s="989"/>
      <c r="K53" s="989"/>
      <c r="L53" s="989"/>
      <c r="M53" s="989"/>
      <c r="N53" s="989"/>
      <c r="O53" s="989"/>
      <c r="P53" s="989"/>
      <c r="Q53" s="523"/>
      <c r="R53" s="523"/>
      <c r="S53" s="523"/>
      <c r="T53" s="448"/>
    </row>
    <row r="54" spans="1:22" s="331" customFormat="1" ht="12" customHeight="1" x14ac:dyDescent="0.2">
      <c r="B54" s="506"/>
      <c r="P54" s="362"/>
      <c r="Q54" s="531"/>
      <c r="R54" s="531"/>
      <c r="S54" s="531"/>
      <c r="T54" s="376"/>
    </row>
    <row r="55" spans="1:22" s="331" customFormat="1" ht="33" customHeight="1" x14ac:dyDescent="0.2">
      <c r="A55" s="1034" t="s">
        <v>598</v>
      </c>
      <c r="B55" s="1000" t="s">
        <v>484</v>
      </c>
      <c r="C55" s="1208" t="s">
        <v>610</v>
      </c>
      <c r="D55" s="1064"/>
      <c r="E55" s="1176" t="s">
        <v>831</v>
      </c>
      <c r="F55" s="1177"/>
      <c r="G55" s="1177"/>
      <c r="H55" s="1178"/>
      <c r="I55" s="1179" t="s">
        <v>825</v>
      </c>
      <c r="J55" s="1180"/>
      <c r="K55" s="1180"/>
      <c r="L55" s="1181"/>
      <c r="M55" s="1190" t="s">
        <v>823</v>
      </c>
      <c r="N55" s="1180"/>
      <c r="O55" s="1180"/>
      <c r="P55" s="1181"/>
      <c r="Q55" s="531"/>
      <c r="R55" s="531"/>
      <c r="S55" s="531"/>
      <c r="T55" s="376"/>
    </row>
    <row r="56" spans="1:22" s="331" customFormat="1" ht="38.25" x14ac:dyDescent="0.2">
      <c r="A56" s="1035"/>
      <c r="B56" s="1036"/>
      <c r="C56" s="1245"/>
      <c r="D56" s="1246"/>
      <c r="E56" s="399" t="s">
        <v>635</v>
      </c>
      <c r="F56" s="400" t="s">
        <v>636</v>
      </c>
      <c r="G56" s="1203" t="s">
        <v>553</v>
      </c>
      <c r="H56" s="1204"/>
      <c r="I56" s="399" t="s">
        <v>635</v>
      </c>
      <c r="J56" s="400" t="s">
        <v>636</v>
      </c>
      <c r="K56" s="1203" t="s">
        <v>553</v>
      </c>
      <c r="L56" s="1204"/>
      <c r="M56" s="399" t="s">
        <v>635</v>
      </c>
      <c r="N56" s="400" t="s">
        <v>636</v>
      </c>
      <c r="O56" s="1203" t="s">
        <v>553</v>
      </c>
      <c r="P56" s="1204"/>
      <c r="Q56" s="531"/>
      <c r="R56" s="531"/>
      <c r="S56" s="531"/>
      <c r="T56" s="376"/>
      <c r="V56" s="332"/>
    </row>
    <row r="57" spans="1:22" s="426" customFormat="1" ht="12.75" x14ac:dyDescent="0.2">
      <c r="A57" s="383" t="s">
        <v>6</v>
      </c>
      <c r="B57" s="767" t="s">
        <v>7</v>
      </c>
      <c r="C57" s="1247" t="s">
        <v>8</v>
      </c>
      <c r="D57" s="1248"/>
      <c r="E57" s="756">
        <v>4</v>
      </c>
      <c r="F57" s="744">
        <v>5</v>
      </c>
      <c r="G57" s="1004" t="s">
        <v>784</v>
      </c>
      <c r="H57" s="1005"/>
      <c r="I57" s="756">
        <v>7</v>
      </c>
      <c r="J57" s="744">
        <v>8</v>
      </c>
      <c r="K57" s="1004" t="s">
        <v>785</v>
      </c>
      <c r="L57" s="1005"/>
      <c r="M57" s="756" t="s">
        <v>463</v>
      </c>
      <c r="N57" s="744" t="s">
        <v>468</v>
      </c>
      <c r="O57" s="1004" t="s">
        <v>556</v>
      </c>
      <c r="P57" s="1005"/>
      <c r="Q57" s="779"/>
      <c r="R57" s="779"/>
      <c r="S57" s="779"/>
      <c r="T57" s="376"/>
    </row>
    <row r="58" spans="1:22" s="334" customFormat="1" ht="27.75" customHeight="1" x14ac:dyDescent="0.2">
      <c r="A58" s="475">
        <v>244</v>
      </c>
      <c r="B58" s="476">
        <v>1</v>
      </c>
      <c r="C58" s="1184" t="s">
        <v>687</v>
      </c>
      <c r="D58" s="1251"/>
      <c r="E58" s="465"/>
      <c r="F58" s="580"/>
      <c r="G58" s="1002">
        <f>E58*F58</f>
        <v>0</v>
      </c>
      <c r="H58" s="1003"/>
      <c r="I58" s="465"/>
      <c r="J58" s="580"/>
      <c r="K58" s="1002">
        <f>I58*J58</f>
        <v>0</v>
      </c>
      <c r="L58" s="1003"/>
      <c r="M58" s="465"/>
      <c r="N58" s="580"/>
      <c r="O58" s="1002">
        <f>M58*N58</f>
        <v>0</v>
      </c>
      <c r="P58" s="1003"/>
      <c r="Q58" s="523"/>
      <c r="R58" s="523"/>
      <c r="S58" s="523"/>
      <c r="T58" s="379"/>
    </row>
    <row r="59" spans="1:22" s="334" customFormat="1" ht="27.75" customHeight="1" x14ac:dyDescent="0.2">
      <c r="A59" s="452">
        <v>244</v>
      </c>
      <c r="B59" s="451">
        <v>2</v>
      </c>
      <c r="C59" s="1186" t="s">
        <v>688</v>
      </c>
      <c r="D59" s="1244"/>
      <c r="E59" s="465"/>
      <c r="F59" s="580"/>
      <c r="G59" s="1238">
        <f t="shared" ref="G59:G96" si="6">E59*F59</f>
        <v>0</v>
      </c>
      <c r="H59" s="1239"/>
      <c r="I59" s="465"/>
      <c r="J59" s="580"/>
      <c r="K59" s="1238">
        <f t="shared" ref="K59:K96" si="7">I59*J59</f>
        <v>0</v>
      </c>
      <c r="L59" s="1239"/>
      <c r="M59" s="465"/>
      <c r="N59" s="580"/>
      <c r="O59" s="1238">
        <f t="shared" ref="O59:O96" si="8">M59*N59</f>
        <v>0</v>
      </c>
      <c r="P59" s="1239"/>
      <c r="Q59" s="523"/>
      <c r="R59" s="523"/>
      <c r="S59" s="523"/>
      <c r="T59" s="379"/>
    </row>
    <row r="60" spans="1:22" s="334" customFormat="1" ht="27.75" customHeight="1" x14ac:dyDescent="0.2">
      <c r="A60" s="452">
        <v>244</v>
      </c>
      <c r="B60" s="451">
        <v>3</v>
      </c>
      <c r="C60" s="1186" t="s">
        <v>689</v>
      </c>
      <c r="D60" s="1244"/>
      <c r="E60" s="465"/>
      <c r="F60" s="580"/>
      <c r="G60" s="1238">
        <f t="shared" si="6"/>
        <v>0</v>
      </c>
      <c r="H60" s="1239"/>
      <c r="I60" s="465"/>
      <c r="J60" s="580"/>
      <c r="K60" s="1238">
        <f t="shared" si="7"/>
        <v>0</v>
      </c>
      <c r="L60" s="1239"/>
      <c r="M60" s="465"/>
      <c r="N60" s="580"/>
      <c r="O60" s="1238">
        <f t="shared" si="8"/>
        <v>0</v>
      </c>
      <c r="P60" s="1239"/>
      <c r="Q60" s="523"/>
      <c r="R60" s="523"/>
      <c r="S60" s="523"/>
      <c r="T60" s="379"/>
    </row>
    <row r="61" spans="1:22" s="334" customFormat="1" ht="27.75" customHeight="1" x14ac:dyDescent="0.2">
      <c r="A61" s="452">
        <v>244</v>
      </c>
      <c r="B61" s="451">
        <v>4</v>
      </c>
      <c r="C61" s="1186" t="s">
        <v>690</v>
      </c>
      <c r="D61" s="1244"/>
      <c r="E61" s="465"/>
      <c r="F61" s="580"/>
      <c r="G61" s="1238">
        <f t="shared" si="6"/>
        <v>0</v>
      </c>
      <c r="H61" s="1239"/>
      <c r="I61" s="465"/>
      <c r="J61" s="580"/>
      <c r="K61" s="1238">
        <f t="shared" si="7"/>
        <v>0</v>
      </c>
      <c r="L61" s="1239"/>
      <c r="M61" s="465"/>
      <c r="N61" s="580"/>
      <c r="O61" s="1238">
        <f t="shared" si="8"/>
        <v>0</v>
      </c>
      <c r="P61" s="1239"/>
      <c r="Q61" s="523"/>
      <c r="R61" s="523"/>
      <c r="S61" s="523"/>
      <c r="T61" s="379"/>
    </row>
    <row r="62" spans="1:22" s="334" customFormat="1" ht="27.75" customHeight="1" x14ac:dyDescent="0.2">
      <c r="A62" s="452">
        <v>244</v>
      </c>
      <c r="B62" s="451">
        <v>5</v>
      </c>
      <c r="C62" s="1186" t="s">
        <v>691</v>
      </c>
      <c r="D62" s="1244"/>
      <c r="E62" s="465"/>
      <c r="F62" s="580"/>
      <c r="G62" s="1238">
        <f t="shared" si="6"/>
        <v>0</v>
      </c>
      <c r="H62" s="1239"/>
      <c r="I62" s="465"/>
      <c r="J62" s="580"/>
      <c r="K62" s="1238">
        <f t="shared" si="7"/>
        <v>0</v>
      </c>
      <c r="L62" s="1239"/>
      <c r="M62" s="465"/>
      <c r="N62" s="580"/>
      <c r="O62" s="1238">
        <f t="shared" si="8"/>
        <v>0</v>
      </c>
      <c r="P62" s="1239"/>
      <c r="Q62" s="523"/>
      <c r="R62" s="523"/>
      <c r="S62" s="523"/>
      <c r="T62" s="379"/>
    </row>
    <row r="63" spans="1:22" s="334" customFormat="1" ht="27.75" customHeight="1" x14ac:dyDescent="0.2">
      <c r="A63" s="452">
        <v>244</v>
      </c>
      <c r="B63" s="451">
        <v>6</v>
      </c>
      <c r="C63" s="1186" t="s">
        <v>692</v>
      </c>
      <c r="D63" s="1244"/>
      <c r="E63" s="465"/>
      <c r="F63" s="580"/>
      <c r="G63" s="1238">
        <f t="shared" si="6"/>
        <v>0</v>
      </c>
      <c r="H63" s="1239"/>
      <c r="I63" s="465"/>
      <c r="J63" s="580"/>
      <c r="K63" s="1238">
        <f t="shared" si="7"/>
        <v>0</v>
      </c>
      <c r="L63" s="1239"/>
      <c r="M63" s="465"/>
      <c r="N63" s="580"/>
      <c r="O63" s="1238">
        <f t="shared" si="8"/>
        <v>0</v>
      </c>
      <c r="P63" s="1239"/>
      <c r="Q63" s="523"/>
      <c r="R63" s="523"/>
      <c r="S63" s="523"/>
      <c r="T63" s="379"/>
    </row>
    <row r="64" spans="1:22" s="334" customFormat="1" ht="27.75" customHeight="1" x14ac:dyDescent="0.2">
      <c r="A64" s="452">
        <v>244</v>
      </c>
      <c r="B64" s="451">
        <v>7</v>
      </c>
      <c r="C64" s="1186" t="s">
        <v>693</v>
      </c>
      <c r="D64" s="1244"/>
      <c r="E64" s="465"/>
      <c r="F64" s="580"/>
      <c r="G64" s="1238">
        <f t="shared" si="6"/>
        <v>0</v>
      </c>
      <c r="H64" s="1239"/>
      <c r="I64" s="465"/>
      <c r="J64" s="580"/>
      <c r="K64" s="1238">
        <f t="shared" si="7"/>
        <v>0</v>
      </c>
      <c r="L64" s="1239"/>
      <c r="M64" s="465"/>
      <c r="N64" s="580"/>
      <c r="O64" s="1238">
        <f t="shared" si="8"/>
        <v>0</v>
      </c>
      <c r="P64" s="1239"/>
      <c r="Q64" s="523"/>
      <c r="R64" s="523"/>
      <c r="S64" s="523"/>
      <c r="T64" s="379"/>
    </row>
    <row r="65" spans="1:20" s="334" customFormat="1" ht="27.75" customHeight="1" x14ac:dyDescent="0.2">
      <c r="A65" s="452">
        <v>244</v>
      </c>
      <c r="B65" s="451">
        <v>8</v>
      </c>
      <c r="C65" s="1186" t="s">
        <v>694</v>
      </c>
      <c r="D65" s="1244"/>
      <c r="E65" s="465"/>
      <c r="F65" s="580"/>
      <c r="G65" s="1238">
        <f t="shared" si="6"/>
        <v>0</v>
      </c>
      <c r="H65" s="1239"/>
      <c r="I65" s="465"/>
      <c r="J65" s="580"/>
      <c r="K65" s="1238">
        <f t="shared" si="7"/>
        <v>0</v>
      </c>
      <c r="L65" s="1239"/>
      <c r="M65" s="465"/>
      <c r="N65" s="580"/>
      <c r="O65" s="1238">
        <f t="shared" si="8"/>
        <v>0</v>
      </c>
      <c r="P65" s="1239"/>
      <c r="Q65" s="523"/>
      <c r="R65" s="523"/>
      <c r="S65" s="523"/>
      <c r="T65" s="379"/>
    </row>
    <row r="66" spans="1:20" s="334" customFormat="1" ht="27.75" customHeight="1" x14ac:dyDescent="0.2">
      <c r="A66" s="452">
        <v>244</v>
      </c>
      <c r="B66" s="451">
        <v>9</v>
      </c>
      <c r="C66" s="1186" t="s">
        <v>695</v>
      </c>
      <c r="D66" s="1244"/>
      <c r="E66" s="465"/>
      <c r="F66" s="580"/>
      <c r="G66" s="1238">
        <f t="shared" si="6"/>
        <v>0</v>
      </c>
      <c r="H66" s="1239"/>
      <c r="I66" s="465"/>
      <c r="J66" s="580"/>
      <c r="K66" s="1238">
        <f t="shared" si="7"/>
        <v>0</v>
      </c>
      <c r="L66" s="1239"/>
      <c r="M66" s="465"/>
      <c r="N66" s="580"/>
      <c r="O66" s="1238">
        <f t="shared" si="8"/>
        <v>0</v>
      </c>
      <c r="P66" s="1239"/>
      <c r="Q66" s="523"/>
      <c r="R66" s="523"/>
      <c r="S66" s="523"/>
      <c r="T66" s="379"/>
    </row>
    <row r="67" spans="1:20" s="334" customFormat="1" ht="27.75" customHeight="1" x14ac:dyDescent="0.2">
      <c r="A67" s="452">
        <v>244</v>
      </c>
      <c r="B67" s="451">
        <v>10</v>
      </c>
      <c r="C67" s="1186" t="s">
        <v>696</v>
      </c>
      <c r="D67" s="1244"/>
      <c r="E67" s="465"/>
      <c r="F67" s="580"/>
      <c r="G67" s="1238">
        <f t="shared" si="6"/>
        <v>0</v>
      </c>
      <c r="H67" s="1239"/>
      <c r="I67" s="465"/>
      <c r="J67" s="580"/>
      <c r="K67" s="1238">
        <f t="shared" si="7"/>
        <v>0</v>
      </c>
      <c r="L67" s="1239"/>
      <c r="M67" s="465"/>
      <c r="N67" s="580"/>
      <c r="O67" s="1238">
        <f t="shared" si="8"/>
        <v>0</v>
      </c>
      <c r="P67" s="1239"/>
      <c r="Q67" s="523"/>
      <c r="R67" s="523"/>
      <c r="S67" s="523"/>
      <c r="T67" s="379"/>
    </row>
    <row r="68" spans="1:20" s="334" customFormat="1" ht="27.75" customHeight="1" x14ac:dyDescent="0.2">
      <c r="A68" s="452">
        <v>244</v>
      </c>
      <c r="B68" s="451">
        <v>11</v>
      </c>
      <c r="C68" s="1186" t="s">
        <v>697</v>
      </c>
      <c r="D68" s="1244"/>
      <c r="E68" s="465"/>
      <c r="F68" s="580"/>
      <c r="G68" s="1238">
        <f t="shared" si="6"/>
        <v>0</v>
      </c>
      <c r="H68" s="1239"/>
      <c r="I68" s="465"/>
      <c r="J68" s="580"/>
      <c r="K68" s="1238">
        <f t="shared" si="7"/>
        <v>0</v>
      </c>
      <c r="L68" s="1239"/>
      <c r="M68" s="465"/>
      <c r="N68" s="580"/>
      <c r="O68" s="1238">
        <f t="shared" si="8"/>
        <v>0</v>
      </c>
      <c r="P68" s="1239"/>
      <c r="Q68" s="523"/>
      <c r="R68" s="523"/>
      <c r="S68" s="523"/>
      <c r="T68" s="379"/>
    </row>
    <row r="69" spans="1:20" s="334" customFormat="1" ht="27.75" customHeight="1" x14ac:dyDescent="0.2">
      <c r="A69" s="452">
        <v>244</v>
      </c>
      <c r="B69" s="451">
        <v>12</v>
      </c>
      <c r="C69" s="1186" t="s">
        <v>698</v>
      </c>
      <c r="D69" s="1244"/>
      <c r="E69" s="465"/>
      <c r="F69" s="580"/>
      <c r="G69" s="1238">
        <f t="shared" si="6"/>
        <v>0</v>
      </c>
      <c r="H69" s="1239"/>
      <c r="I69" s="465"/>
      <c r="J69" s="580"/>
      <c r="K69" s="1238">
        <f t="shared" si="7"/>
        <v>0</v>
      </c>
      <c r="L69" s="1239"/>
      <c r="M69" s="465"/>
      <c r="N69" s="580"/>
      <c r="O69" s="1238">
        <f t="shared" si="8"/>
        <v>0</v>
      </c>
      <c r="P69" s="1239"/>
      <c r="Q69" s="523"/>
      <c r="R69" s="523"/>
      <c r="S69" s="523"/>
      <c r="T69" s="379"/>
    </row>
    <row r="70" spans="1:20" s="334" customFormat="1" ht="27.75" customHeight="1" x14ac:dyDescent="0.2">
      <c r="A70" s="452">
        <v>244</v>
      </c>
      <c r="B70" s="451">
        <v>13</v>
      </c>
      <c r="C70" s="1186" t="s">
        <v>699</v>
      </c>
      <c r="D70" s="1244"/>
      <c r="E70" s="465"/>
      <c r="F70" s="580"/>
      <c r="G70" s="1238">
        <f t="shared" si="6"/>
        <v>0</v>
      </c>
      <c r="H70" s="1239"/>
      <c r="I70" s="465"/>
      <c r="J70" s="580"/>
      <c r="K70" s="1238">
        <f t="shared" si="7"/>
        <v>0</v>
      </c>
      <c r="L70" s="1239"/>
      <c r="M70" s="465"/>
      <c r="N70" s="580"/>
      <c r="O70" s="1238">
        <f t="shared" si="8"/>
        <v>0</v>
      </c>
      <c r="P70" s="1239"/>
      <c r="Q70" s="523"/>
      <c r="R70" s="523"/>
      <c r="S70" s="523"/>
      <c r="T70" s="379"/>
    </row>
    <row r="71" spans="1:20" s="334" customFormat="1" ht="27.75" customHeight="1" x14ac:dyDescent="0.2">
      <c r="A71" s="452">
        <v>244</v>
      </c>
      <c r="B71" s="451">
        <v>14</v>
      </c>
      <c r="C71" s="1186" t="s">
        <v>700</v>
      </c>
      <c r="D71" s="1244"/>
      <c r="E71" s="465"/>
      <c r="F71" s="580"/>
      <c r="G71" s="1238">
        <f t="shared" si="6"/>
        <v>0</v>
      </c>
      <c r="H71" s="1239"/>
      <c r="I71" s="465"/>
      <c r="J71" s="580"/>
      <c r="K71" s="1238">
        <f t="shared" si="7"/>
        <v>0</v>
      </c>
      <c r="L71" s="1239"/>
      <c r="M71" s="465"/>
      <c r="N71" s="580"/>
      <c r="O71" s="1238">
        <f t="shared" si="8"/>
        <v>0</v>
      </c>
      <c r="P71" s="1239"/>
      <c r="Q71" s="523"/>
      <c r="R71" s="523"/>
      <c r="S71" s="523"/>
      <c r="T71" s="379"/>
    </row>
    <row r="72" spans="1:20" s="334" customFormat="1" ht="27.75" customHeight="1" x14ac:dyDescent="0.2">
      <c r="A72" s="452">
        <v>244</v>
      </c>
      <c r="B72" s="451">
        <v>15</v>
      </c>
      <c r="C72" s="1186" t="s">
        <v>701</v>
      </c>
      <c r="D72" s="1244"/>
      <c r="E72" s="465"/>
      <c r="F72" s="580"/>
      <c r="G72" s="1238">
        <f t="shared" si="6"/>
        <v>0</v>
      </c>
      <c r="H72" s="1239"/>
      <c r="I72" s="465"/>
      <c r="J72" s="580"/>
      <c r="K72" s="1238">
        <f t="shared" si="7"/>
        <v>0</v>
      </c>
      <c r="L72" s="1239"/>
      <c r="M72" s="465"/>
      <c r="N72" s="580"/>
      <c r="O72" s="1238">
        <f t="shared" si="8"/>
        <v>0</v>
      </c>
      <c r="P72" s="1239"/>
      <c r="Q72" s="523"/>
      <c r="R72" s="523"/>
      <c r="S72" s="523"/>
      <c r="T72" s="379"/>
    </row>
    <row r="73" spans="1:20" s="334" customFormat="1" ht="27.75" customHeight="1" x14ac:dyDescent="0.2">
      <c r="A73" s="452">
        <v>244</v>
      </c>
      <c r="B73" s="451">
        <v>16</v>
      </c>
      <c r="C73" s="1186" t="s">
        <v>702</v>
      </c>
      <c r="D73" s="1244"/>
      <c r="E73" s="465"/>
      <c r="F73" s="580"/>
      <c r="G73" s="1238">
        <f t="shared" si="6"/>
        <v>0</v>
      </c>
      <c r="H73" s="1239"/>
      <c r="I73" s="465"/>
      <c r="J73" s="580"/>
      <c r="K73" s="1238">
        <f t="shared" si="7"/>
        <v>0</v>
      </c>
      <c r="L73" s="1239"/>
      <c r="M73" s="465"/>
      <c r="N73" s="580"/>
      <c r="O73" s="1238">
        <f t="shared" si="8"/>
        <v>0</v>
      </c>
      <c r="P73" s="1239"/>
      <c r="Q73" s="523"/>
      <c r="R73" s="523"/>
      <c r="S73" s="523"/>
      <c r="T73" s="379"/>
    </row>
    <row r="74" spans="1:20" s="334" customFormat="1" ht="27.75" customHeight="1" x14ac:dyDescent="0.2">
      <c r="A74" s="452">
        <v>244</v>
      </c>
      <c r="B74" s="451">
        <v>17</v>
      </c>
      <c r="C74" s="1186" t="s">
        <v>703</v>
      </c>
      <c r="D74" s="1244"/>
      <c r="E74" s="465"/>
      <c r="F74" s="580"/>
      <c r="G74" s="1238">
        <f t="shared" si="6"/>
        <v>0</v>
      </c>
      <c r="H74" s="1239"/>
      <c r="I74" s="465"/>
      <c r="J74" s="580"/>
      <c r="K74" s="1238">
        <f t="shared" si="7"/>
        <v>0</v>
      </c>
      <c r="L74" s="1239"/>
      <c r="M74" s="465"/>
      <c r="N74" s="580"/>
      <c r="O74" s="1238">
        <f t="shared" si="8"/>
        <v>0</v>
      </c>
      <c r="P74" s="1239"/>
      <c r="Q74" s="523"/>
      <c r="R74" s="523"/>
      <c r="S74" s="523"/>
      <c r="T74" s="379"/>
    </row>
    <row r="75" spans="1:20" s="334" customFormat="1" ht="27.75" customHeight="1" x14ac:dyDescent="0.2">
      <c r="A75" s="452">
        <v>244</v>
      </c>
      <c r="B75" s="451">
        <v>18</v>
      </c>
      <c r="C75" s="1186" t="s">
        <v>704</v>
      </c>
      <c r="D75" s="1244"/>
      <c r="E75" s="465"/>
      <c r="F75" s="580"/>
      <c r="G75" s="1238">
        <f t="shared" si="6"/>
        <v>0</v>
      </c>
      <c r="H75" s="1239"/>
      <c r="I75" s="465"/>
      <c r="J75" s="580"/>
      <c r="K75" s="1238">
        <f t="shared" si="7"/>
        <v>0</v>
      </c>
      <c r="L75" s="1239"/>
      <c r="M75" s="465"/>
      <c r="N75" s="580"/>
      <c r="O75" s="1238">
        <f t="shared" si="8"/>
        <v>0</v>
      </c>
      <c r="P75" s="1239"/>
      <c r="Q75" s="523"/>
      <c r="R75" s="523"/>
      <c r="S75" s="523"/>
      <c r="T75" s="379"/>
    </row>
    <row r="76" spans="1:20" s="334" customFormat="1" ht="27.75" customHeight="1" x14ac:dyDescent="0.2">
      <c r="A76" s="452">
        <v>244</v>
      </c>
      <c r="B76" s="451">
        <v>19</v>
      </c>
      <c r="C76" s="1186" t="s">
        <v>705</v>
      </c>
      <c r="D76" s="1244"/>
      <c r="E76" s="465"/>
      <c r="F76" s="580"/>
      <c r="G76" s="1238">
        <f t="shared" si="6"/>
        <v>0</v>
      </c>
      <c r="H76" s="1239"/>
      <c r="I76" s="465"/>
      <c r="J76" s="580"/>
      <c r="K76" s="1238">
        <f t="shared" si="7"/>
        <v>0</v>
      </c>
      <c r="L76" s="1239"/>
      <c r="M76" s="465"/>
      <c r="N76" s="580"/>
      <c r="O76" s="1238">
        <f t="shared" si="8"/>
        <v>0</v>
      </c>
      <c r="P76" s="1239"/>
      <c r="Q76" s="523"/>
      <c r="R76" s="523"/>
      <c r="S76" s="523"/>
      <c r="T76" s="379"/>
    </row>
    <row r="77" spans="1:20" s="334" customFormat="1" ht="27.75" customHeight="1" x14ac:dyDescent="0.2">
      <c r="A77" s="452">
        <v>244</v>
      </c>
      <c r="B77" s="451">
        <v>20</v>
      </c>
      <c r="C77" s="1186" t="s">
        <v>706</v>
      </c>
      <c r="D77" s="1244"/>
      <c r="E77" s="465"/>
      <c r="F77" s="580"/>
      <c r="G77" s="1238">
        <f t="shared" si="6"/>
        <v>0</v>
      </c>
      <c r="H77" s="1239"/>
      <c r="I77" s="465"/>
      <c r="J77" s="580"/>
      <c r="K77" s="1238">
        <f t="shared" si="7"/>
        <v>0</v>
      </c>
      <c r="L77" s="1239"/>
      <c r="M77" s="465"/>
      <c r="N77" s="580"/>
      <c r="O77" s="1238">
        <f t="shared" si="8"/>
        <v>0</v>
      </c>
      <c r="P77" s="1239"/>
      <c r="Q77" s="523"/>
      <c r="R77" s="523"/>
      <c r="S77" s="523"/>
      <c r="T77" s="379"/>
    </row>
    <row r="78" spans="1:20" s="334" customFormat="1" ht="27.75" customHeight="1" x14ac:dyDescent="0.2">
      <c r="A78" s="452">
        <v>244</v>
      </c>
      <c r="B78" s="451">
        <v>21</v>
      </c>
      <c r="C78" s="1186" t="s">
        <v>707</v>
      </c>
      <c r="D78" s="1244"/>
      <c r="E78" s="465"/>
      <c r="F78" s="580"/>
      <c r="G78" s="1238">
        <f t="shared" si="6"/>
        <v>0</v>
      </c>
      <c r="H78" s="1239"/>
      <c r="I78" s="465"/>
      <c r="J78" s="580"/>
      <c r="K78" s="1238">
        <f t="shared" si="7"/>
        <v>0</v>
      </c>
      <c r="L78" s="1239"/>
      <c r="M78" s="465"/>
      <c r="N78" s="580"/>
      <c r="O78" s="1238">
        <f t="shared" si="8"/>
        <v>0</v>
      </c>
      <c r="P78" s="1239"/>
      <c r="Q78" s="523"/>
      <c r="R78" s="523"/>
      <c r="S78" s="523"/>
      <c r="T78" s="379"/>
    </row>
    <row r="79" spans="1:20" s="334" customFormat="1" ht="27.75" customHeight="1" x14ac:dyDescent="0.2">
      <c r="A79" s="452">
        <v>244</v>
      </c>
      <c r="B79" s="451">
        <v>22</v>
      </c>
      <c r="C79" s="1186" t="s">
        <v>708</v>
      </c>
      <c r="D79" s="1244"/>
      <c r="E79" s="465"/>
      <c r="F79" s="580"/>
      <c r="G79" s="1238">
        <f t="shared" si="6"/>
        <v>0</v>
      </c>
      <c r="H79" s="1239"/>
      <c r="I79" s="465"/>
      <c r="J79" s="580"/>
      <c r="K79" s="1238">
        <f t="shared" si="7"/>
        <v>0</v>
      </c>
      <c r="L79" s="1239"/>
      <c r="M79" s="465"/>
      <c r="N79" s="580"/>
      <c r="O79" s="1238">
        <f t="shared" si="8"/>
        <v>0</v>
      </c>
      <c r="P79" s="1239"/>
      <c r="Q79" s="523"/>
      <c r="R79" s="523"/>
      <c r="S79" s="523"/>
      <c r="T79" s="379"/>
    </row>
    <row r="80" spans="1:20" s="334" customFormat="1" ht="27.75" customHeight="1" x14ac:dyDescent="0.2">
      <c r="A80" s="452">
        <v>244</v>
      </c>
      <c r="B80" s="451">
        <v>23</v>
      </c>
      <c r="C80" s="1186" t="s">
        <v>709</v>
      </c>
      <c r="D80" s="1244"/>
      <c r="E80" s="465"/>
      <c r="F80" s="580"/>
      <c r="G80" s="1238">
        <f t="shared" si="6"/>
        <v>0</v>
      </c>
      <c r="H80" s="1239"/>
      <c r="I80" s="465"/>
      <c r="J80" s="580"/>
      <c r="K80" s="1238">
        <f t="shared" si="7"/>
        <v>0</v>
      </c>
      <c r="L80" s="1239"/>
      <c r="M80" s="465"/>
      <c r="N80" s="580"/>
      <c r="O80" s="1238">
        <f t="shared" si="8"/>
        <v>0</v>
      </c>
      <c r="P80" s="1239"/>
      <c r="Q80" s="523"/>
      <c r="R80" s="523"/>
      <c r="S80" s="523"/>
      <c r="T80" s="379"/>
    </row>
    <row r="81" spans="1:20" s="334" customFormat="1" ht="27.75" customHeight="1" x14ac:dyDescent="0.2">
      <c r="A81" s="452">
        <v>244</v>
      </c>
      <c r="B81" s="451">
        <v>24</v>
      </c>
      <c r="C81" s="1186" t="s">
        <v>710</v>
      </c>
      <c r="D81" s="1244"/>
      <c r="E81" s="465"/>
      <c r="F81" s="580"/>
      <c r="G81" s="1238">
        <f t="shared" si="6"/>
        <v>0</v>
      </c>
      <c r="H81" s="1239"/>
      <c r="I81" s="465"/>
      <c r="J81" s="580"/>
      <c r="K81" s="1238">
        <f t="shared" si="7"/>
        <v>0</v>
      </c>
      <c r="L81" s="1239"/>
      <c r="M81" s="465"/>
      <c r="N81" s="580"/>
      <c r="O81" s="1238">
        <f t="shared" si="8"/>
        <v>0</v>
      </c>
      <c r="P81" s="1239"/>
      <c r="Q81" s="523"/>
      <c r="R81" s="523"/>
      <c r="S81" s="523"/>
      <c r="T81" s="379"/>
    </row>
    <row r="82" spans="1:20" s="334" customFormat="1" ht="27.75" customHeight="1" x14ac:dyDescent="0.2">
      <c r="A82" s="452">
        <v>244</v>
      </c>
      <c r="B82" s="451">
        <v>25</v>
      </c>
      <c r="C82" s="1186" t="s">
        <v>711</v>
      </c>
      <c r="D82" s="1244"/>
      <c r="E82" s="465"/>
      <c r="F82" s="580"/>
      <c r="G82" s="1238">
        <f t="shared" si="6"/>
        <v>0</v>
      </c>
      <c r="H82" s="1239"/>
      <c r="I82" s="465"/>
      <c r="J82" s="580"/>
      <c r="K82" s="1238">
        <f t="shared" si="7"/>
        <v>0</v>
      </c>
      <c r="L82" s="1239"/>
      <c r="M82" s="465"/>
      <c r="N82" s="580"/>
      <c r="O82" s="1238">
        <f t="shared" si="8"/>
        <v>0</v>
      </c>
      <c r="P82" s="1239"/>
      <c r="Q82" s="523"/>
      <c r="R82" s="523"/>
      <c r="S82" s="523"/>
      <c r="T82" s="379"/>
    </row>
    <row r="83" spans="1:20" s="334" customFormat="1" ht="27.75" customHeight="1" x14ac:dyDescent="0.2">
      <c r="A83" s="452">
        <v>244</v>
      </c>
      <c r="B83" s="451">
        <v>26</v>
      </c>
      <c r="C83" s="1186" t="s">
        <v>712</v>
      </c>
      <c r="D83" s="1244"/>
      <c r="E83" s="465"/>
      <c r="F83" s="580"/>
      <c r="G83" s="1238">
        <f t="shared" si="6"/>
        <v>0</v>
      </c>
      <c r="H83" s="1239"/>
      <c r="I83" s="465"/>
      <c r="J83" s="580"/>
      <c r="K83" s="1238">
        <f t="shared" si="7"/>
        <v>0</v>
      </c>
      <c r="L83" s="1239"/>
      <c r="M83" s="465"/>
      <c r="N83" s="580"/>
      <c r="O83" s="1238">
        <f t="shared" si="8"/>
        <v>0</v>
      </c>
      <c r="P83" s="1239"/>
      <c r="Q83" s="523"/>
      <c r="R83" s="523"/>
      <c r="S83" s="523"/>
      <c r="T83" s="379"/>
    </row>
    <row r="84" spans="1:20" s="334" customFormat="1" ht="27.75" customHeight="1" x14ac:dyDescent="0.2">
      <c r="A84" s="452">
        <v>244</v>
      </c>
      <c r="B84" s="451">
        <v>27</v>
      </c>
      <c r="C84" s="1186" t="s">
        <v>713</v>
      </c>
      <c r="D84" s="1244"/>
      <c r="E84" s="465"/>
      <c r="F84" s="580"/>
      <c r="G84" s="1238">
        <f t="shared" si="6"/>
        <v>0</v>
      </c>
      <c r="H84" s="1239"/>
      <c r="I84" s="465"/>
      <c r="J84" s="580"/>
      <c r="K84" s="1238">
        <f t="shared" si="7"/>
        <v>0</v>
      </c>
      <c r="L84" s="1239"/>
      <c r="M84" s="465"/>
      <c r="N84" s="580"/>
      <c r="O84" s="1238">
        <f t="shared" si="8"/>
        <v>0</v>
      </c>
      <c r="P84" s="1239"/>
      <c r="Q84" s="523"/>
      <c r="R84" s="523"/>
      <c r="S84" s="523"/>
      <c r="T84" s="379"/>
    </row>
    <row r="85" spans="1:20" s="334" customFormat="1" ht="27.75" customHeight="1" x14ac:dyDescent="0.2">
      <c r="A85" s="452">
        <v>244</v>
      </c>
      <c r="B85" s="451">
        <v>28</v>
      </c>
      <c r="C85" s="1186" t="s">
        <v>714</v>
      </c>
      <c r="D85" s="1244"/>
      <c r="E85" s="465"/>
      <c r="F85" s="580"/>
      <c r="G85" s="1238">
        <f t="shared" si="6"/>
        <v>0</v>
      </c>
      <c r="H85" s="1239"/>
      <c r="I85" s="465"/>
      <c r="J85" s="580"/>
      <c r="K85" s="1238">
        <f t="shared" si="7"/>
        <v>0</v>
      </c>
      <c r="L85" s="1239"/>
      <c r="M85" s="465"/>
      <c r="N85" s="580"/>
      <c r="O85" s="1238">
        <f t="shared" si="8"/>
        <v>0</v>
      </c>
      <c r="P85" s="1239"/>
      <c r="Q85" s="523"/>
      <c r="R85" s="523"/>
      <c r="S85" s="523"/>
      <c r="T85" s="379"/>
    </row>
    <row r="86" spans="1:20" s="334" customFormat="1" ht="27.75" customHeight="1" x14ac:dyDescent="0.2">
      <c r="A86" s="452">
        <v>244</v>
      </c>
      <c r="B86" s="451">
        <v>29</v>
      </c>
      <c r="C86" s="1186" t="s">
        <v>715</v>
      </c>
      <c r="D86" s="1244"/>
      <c r="E86" s="465"/>
      <c r="F86" s="580"/>
      <c r="G86" s="1238">
        <f t="shared" si="6"/>
        <v>0</v>
      </c>
      <c r="H86" s="1239"/>
      <c r="I86" s="465"/>
      <c r="J86" s="580"/>
      <c r="K86" s="1238">
        <f t="shared" si="7"/>
        <v>0</v>
      </c>
      <c r="L86" s="1239"/>
      <c r="M86" s="465"/>
      <c r="N86" s="580"/>
      <c r="O86" s="1238">
        <f t="shared" si="8"/>
        <v>0</v>
      </c>
      <c r="P86" s="1239"/>
      <c r="Q86" s="523"/>
      <c r="R86" s="523"/>
      <c r="S86" s="523"/>
      <c r="T86" s="379"/>
    </row>
    <row r="87" spans="1:20" s="334" customFormat="1" ht="27.75" customHeight="1" x14ac:dyDescent="0.2">
      <c r="A87" s="452">
        <v>244</v>
      </c>
      <c r="B87" s="451">
        <v>30</v>
      </c>
      <c r="C87" s="1186" t="s">
        <v>716</v>
      </c>
      <c r="D87" s="1244"/>
      <c r="E87" s="465"/>
      <c r="F87" s="580"/>
      <c r="G87" s="1238">
        <f t="shared" si="6"/>
        <v>0</v>
      </c>
      <c r="H87" s="1239"/>
      <c r="I87" s="465"/>
      <c r="J87" s="580"/>
      <c r="K87" s="1238">
        <f t="shared" si="7"/>
        <v>0</v>
      </c>
      <c r="L87" s="1239"/>
      <c r="M87" s="465"/>
      <c r="N87" s="580"/>
      <c r="O87" s="1238">
        <f t="shared" si="8"/>
        <v>0</v>
      </c>
      <c r="P87" s="1239"/>
      <c r="Q87" s="523"/>
      <c r="R87" s="523"/>
      <c r="S87" s="523"/>
      <c r="T87" s="379"/>
    </row>
    <row r="88" spans="1:20" s="334" customFormat="1" ht="27.75" customHeight="1" x14ac:dyDescent="0.2">
      <c r="A88" s="452">
        <v>244</v>
      </c>
      <c r="B88" s="451">
        <v>31</v>
      </c>
      <c r="C88" s="1186" t="s">
        <v>717</v>
      </c>
      <c r="D88" s="1244"/>
      <c r="E88" s="465"/>
      <c r="F88" s="580"/>
      <c r="G88" s="1238">
        <f t="shared" si="6"/>
        <v>0</v>
      </c>
      <c r="H88" s="1239"/>
      <c r="I88" s="465"/>
      <c r="J88" s="580"/>
      <c r="K88" s="1238">
        <f t="shared" si="7"/>
        <v>0</v>
      </c>
      <c r="L88" s="1239"/>
      <c r="M88" s="465"/>
      <c r="N88" s="580"/>
      <c r="O88" s="1238">
        <f t="shared" si="8"/>
        <v>0</v>
      </c>
      <c r="P88" s="1239"/>
      <c r="Q88" s="523"/>
      <c r="R88" s="523"/>
      <c r="S88" s="523"/>
      <c r="T88" s="379"/>
    </row>
    <row r="89" spans="1:20" s="334" customFormat="1" ht="27.75" customHeight="1" x14ac:dyDescent="0.2">
      <c r="A89" s="452">
        <v>244</v>
      </c>
      <c r="B89" s="451">
        <v>32</v>
      </c>
      <c r="C89" s="1186" t="s">
        <v>718</v>
      </c>
      <c r="D89" s="1244"/>
      <c r="E89" s="465"/>
      <c r="F89" s="580"/>
      <c r="G89" s="1238">
        <f t="shared" si="6"/>
        <v>0</v>
      </c>
      <c r="H89" s="1239"/>
      <c r="I89" s="465"/>
      <c r="J89" s="580"/>
      <c r="K89" s="1238">
        <f t="shared" si="7"/>
        <v>0</v>
      </c>
      <c r="L89" s="1239"/>
      <c r="M89" s="465"/>
      <c r="N89" s="580"/>
      <c r="O89" s="1238">
        <f t="shared" si="8"/>
        <v>0</v>
      </c>
      <c r="P89" s="1239"/>
      <c r="Q89" s="523"/>
      <c r="R89" s="523"/>
      <c r="S89" s="523"/>
      <c r="T89" s="379"/>
    </row>
    <row r="90" spans="1:20" s="334" customFormat="1" ht="27.75" customHeight="1" x14ac:dyDescent="0.2">
      <c r="A90" s="452">
        <v>244</v>
      </c>
      <c r="B90" s="451">
        <v>33</v>
      </c>
      <c r="C90" s="1186" t="s">
        <v>719</v>
      </c>
      <c r="D90" s="1244"/>
      <c r="E90" s="465"/>
      <c r="F90" s="580"/>
      <c r="G90" s="1238">
        <f t="shared" si="6"/>
        <v>0</v>
      </c>
      <c r="H90" s="1239"/>
      <c r="I90" s="465"/>
      <c r="J90" s="580"/>
      <c r="K90" s="1238">
        <f t="shared" si="7"/>
        <v>0</v>
      </c>
      <c r="L90" s="1239"/>
      <c r="M90" s="465"/>
      <c r="N90" s="580"/>
      <c r="O90" s="1238">
        <f t="shared" si="8"/>
        <v>0</v>
      </c>
      <c r="P90" s="1239"/>
      <c r="Q90" s="523"/>
      <c r="R90" s="523"/>
      <c r="S90" s="523"/>
      <c r="T90" s="379"/>
    </row>
    <row r="91" spans="1:20" s="334" customFormat="1" ht="27.75" customHeight="1" x14ac:dyDescent="0.2">
      <c r="A91" s="452">
        <v>244</v>
      </c>
      <c r="B91" s="451">
        <v>34</v>
      </c>
      <c r="C91" s="1186" t="s">
        <v>720</v>
      </c>
      <c r="D91" s="1244"/>
      <c r="E91" s="465"/>
      <c r="F91" s="580"/>
      <c r="G91" s="1238">
        <f t="shared" si="6"/>
        <v>0</v>
      </c>
      <c r="H91" s="1239"/>
      <c r="I91" s="465"/>
      <c r="J91" s="580"/>
      <c r="K91" s="1238">
        <f t="shared" si="7"/>
        <v>0</v>
      </c>
      <c r="L91" s="1239"/>
      <c r="M91" s="465"/>
      <c r="N91" s="580"/>
      <c r="O91" s="1238">
        <f t="shared" si="8"/>
        <v>0</v>
      </c>
      <c r="P91" s="1239"/>
      <c r="Q91" s="523"/>
      <c r="R91" s="523"/>
      <c r="S91" s="523"/>
      <c r="T91" s="379"/>
    </row>
    <row r="92" spans="1:20" s="334" customFormat="1" ht="27.75" customHeight="1" x14ac:dyDescent="0.2">
      <c r="A92" s="452">
        <v>244</v>
      </c>
      <c r="B92" s="451">
        <v>35</v>
      </c>
      <c r="C92" s="1186" t="s">
        <v>721</v>
      </c>
      <c r="D92" s="1244"/>
      <c r="E92" s="465"/>
      <c r="F92" s="580"/>
      <c r="G92" s="1238">
        <f t="shared" si="6"/>
        <v>0</v>
      </c>
      <c r="H92" s="1239"/>
      <c r="I92" s="465"/>
      <c r="J92" s="580"/>
      <c r="K92" s="1238">
        <f t="shared" si="7"/>
        <v>0</v>
      </c>
      <c r="L92" s="1239"/>
      <c r="M92" s="465"/>
      <c r="N92" s="580"/>
      <c r="O92" s="1238">
        <f t="shared" si="8"/>
        <v>0</v>
      </c>
      <c r="P92" s="1239"/>
      <c r="Q92" s="523"/>
      <c r="R92" s="523"/>
      <c r="S92" s="523"/>
      <c r="T92" s="379"/>
    </row>
    <row r="93" spans="1:20" s="334" customFormat="1" ht="27.75" customHeight="1" x14ac:dyDescent="0.2">
      <c r="A93" s="452">
        <v>244</v>
      </c>
      <c r="B93" s="451">
        <v>36</v>
      </c>
      <c r="C93" s="1186" t="s">
        <v>722</v>
      </c>
      <c r="D93" s="1244"/>
      <c r="E93" s="465"/>
      <c r="F93" s="580"/>
      <c r="G93" s="1238">
        <f t="shared" si="6"/>
        <v>0</v>
      </c>
      <c r="H93" s="1239"/>
      <c r="I93" s="465"/>
      <c r="J93" s="580"/>
      <c r="K93" s="1238">
        <f t="shared" si="7"/>
        <v>0</v>
      </c>
      <c r="L93" s="1239"/>
      <c r="M93" s="465"/>
      <c r="N93" s="580"/>
      <c r="O93" s="1238">
        <f t="shared" si="8"/>
        <v>0</v>
      </c>
      <c r="P93" s="1239"/>
      <c r="Q93" s="523"/>
      <c r="R93" s="523"/>
      <c r="S93" s="523"/>
      <c r="T93" s="379"/>
    </row>
    <row r="94" spans="1:20" s="334" customFormat="1" ht="27.75" customHeight="1" x14ac:dyDescent="0.2">
      <c r="A94" s="452">
        <v>244</v>
      </c>
      <c r="B94" s="451">
        <v>37</v>
      </c>
      <c r="C94" s="1186" t="s">
        <v>723</v>
      </c>
      <c r="D94" s="1244"/>
      <c r="E94" s="465"/>
      <c r="F94" s="580"/>
      <c r="G94" s="1238">
        <f t="shared" si="6"/>
        <v>0</v>
      </c>
      <c r="H94" s="1239"/>
      <c r="I94" s="465"/>
      <c r="J94" s="580"/>
      <c r="K94" s="1238">
        <f t="shared" si="7"/>
        <v>0</v>
      </c>
      <c r="L94" s="1239"/>
      <c r="M94" s="465"/>
      <c r="N94" s="580"/>
      <c r="O94" s="1238">
        <f t="shared" si="8"/>
        <v>0</v>
      </c>
      <c r="P94" s="1239"/>
      <c r="Q94" s="523"/>
      <c r="R94" s="523"/>
      <c r="S94" s="523"/>
      <c r="T94" s="379"/>
    </row>
    <row r="95" spans="1:20" s="334" customFormat="1" ht="27.75" customHeight="1" x14ac:dyDescent="0.2">
      <c r="A95" s="452">
        <v>244</v>
      </c>
      <c r="B95" s="451">
        <v>38</v>
      </c>
      <c r="C95" s="1186" t="s">
        <v>724</v>
      </c>
      <c r="D95" s="1244"/>
      <c r="E95" s="465"/>
      <c r="F95" s="580"/>
      <c r="G95" s="1238">
        <f t="shared" si="6"/>
        <v>0</v>
      </c>
      <c r="H95" s="1239"/>
      <c r="I95" s="465"/>
      <c r="J95" s="580"/>
      <c r="K95" s="1238">
        <f t="shared" si="7"/>
        <v>0</v>
      </c>
      <c r="L95" s="1239"/>
      <c r="M95" s="465"/>
      <c r="N95" s="580"/>
      <c r="O95" s="1238">
        <f t="shared" si="8"/>
        <v>0</v>
      </c>
      <c r="P95" s="1239"/>
      <c r="Q95" s="523"/>
      <c r="R95" s="523"/>
      <c r="S95" s="523"/>
      <c r="T95" s="379"/>
    </row>
    <row r="96" spans="1:20" s="334" customFormat="1" ht="27.75" customHeight="1" x14ac:dyDescent="0.2">
      <c r="A96" s="452">
        <v>244</v>
      </c>
      <c r="B96" s="451">
        <v>39</v>
      </c>
      <c r="C96" s="1186" t="s">
        <v>725</v>
      </c>
      <c r="D96" s="1244"/>
      <c r="E96" s="465"/>
      <c r="F96" s="580"/>
      <c r="G96" s="1238">
        <f t="shared" si="6"/>
        <v>0</v>
      </c>
      <c r="H96" s="1239"/>
      <c r="I96" s="465"/>
      <c r="J96" s="580"/>
      <c r="K96" s="1238">
        <f t="shared" si="7"/>
        <v>0</v>
      </c>
      <c r="L96" s="1239"/>
      <c r="M96" s="465"/>
      <c r="N96" s="580"/>
      <c r="O96" s="1238">
        <f t="shared" si="8"/>
        <v>0</v>
      </c>
      <c r="P96" s="1239"/>
      <c r="Q96" s="523"/>
      <c r="R96" s="523"/>
      <c r="S96" s="523"/>
      <c r="T96" s="379"/>
    </row>
    <row r="97" spans="1:20" s="334" customFormat="1" ht="27.75" customHeight="1" x14ac:dyDescent="0.2">
      <c r="A97" s="493">
        <v>244</v>
      </c>
      <c r="B97" s="496">
        <v>40</v>
      </c>
      <c r="C97" s="1186" t="s">
        <v>726</v>
      </c>
      <c r="D97" s="1244"/>
      <c r="E97" s="469"/>
      <c r="F97" s="665"/>
      <c r="G97" s="1070">
        <f>G98-SUM(G58:H96)</f>
        <v>0</v>
      </c>
      <c r="H97" s="1075"/>
      <c r="I97" s="469"/>
      <c r="J97" s="665"/>
      <c r="K97" s="1070">
        <f>K98-SUM(K58:L96)</f>
        <v>0</v>
      </c>
      <c r="L97" s="1075"/>
      <c r="M97" s="469"/>
      <c r="N97" s="665"/>
      <c r="O97" s="1070">
        <f>O98-SUM(O58:P96)</f>
        <v>0</v>
      </c>
      <c r="P97" s="1075"/>
      <c r="Q97" s="523"/>
      <c r="R97" s="523"/>
      <c r="S97" s="523"/>
      <c r="T97" s="379"/>
    </row>
    <row r="98" spans="1:20" s="524" customFormat="1" ht="27.75" customHeight="1" x14ac:dyDescent="0.2">
      <c r="A98" s="517"/>
      <c r="B98" s="522"/>
      <c r="C98" s="1249" t="s">
        <v>611</v>
      </c>
      <c r="D98" s="1250"/>
      <c r="E98" s="512" t="s">
        <v>462</v>
      </c>
      <c r="F98" s="511" t="s">
        <v>462</v>
      </c>
      <c r="G98" s="1008">
        <f>SUMIFS(Титульный!$E$13:$E$157,Титульный!$A$13:$A$157,'Расходы КФО 2'!$Q98,Титульный!$B$13:$B$157,'Расходы КФО 2'!$R98,Титульный!$D$13:$D$157,'Расходы КФО 2'!$S98)</f>
        <v>0</v>
      </c>
      <c r="H98" s="1009">
        <f>SUMIFS(Титульный!$E$13:$E$157,Титульный!$A$13:$A$157,'Расходы КФО 2'!$Q98,Титульный!$B$13:$B$157,'Расходы КФО 2'!$R98,Титульный!$D$13:$D$157,'Расходы КФО 2'!$S98)</f>
        <v>0</v>
      </c>
      <c r="I98" s="512" t="s">
        <v>462</v>
      </c>
      <c r="J98" s="511" t="s">
        <v>462</v>
      </c>
      <c r="K98" s="1008">
        <f>SUMIFS(Титульный!$F$13:$F$157,
Титульный!$A$13:$A$157,'Расходы КФО 2'!$Q98,
Титульный!$B$13:$B$157,'Расходы КФО 2'!$R98,
Титульный!$D$13:$D$157,'Расходы КФО 2'!$S98)</f>
        <v>0</v>
      </c>
      <c r="L98" s="1009">
        <f>SUMIFS(Титульный!$F$13:$F$157,
Титульный!$A$13:$A$157,'Расходы КФО 2'!$Q98,
Титульный!$B$13:$B$157,'Расходы КФО 2'!$R98,
Титульный!$D$13:$D$157,'Расходы КФО 2'!$S98)</f>
        <v>0</v>
      </c>
      <c r="M98" s="510" t="s">
        <v>462</v>
      </c>
      <c r="N98" s="511" t="s">
        <v>462</v>
      </c>
      <c r="O98" s="1008">
        <f>SUMIFS(Титульный!$G$13:$G$157,
Титульный!$A$13:$A$157,'Расходы КФО 2'!$Q98,
Титульный!$B$13:$B$157,'Расходы КФО 2'!$R98,
Титульный!$D$13:$D$157,'Расходы КФО 2'!$S98)</f>
        <v>0</v>
      </c>
      <c r="P98" s="1009">
        <f>SUMIFS(Титульный!$G$13:$G$157,
Титульный!$A$13:$A$157,'Расходы КФО 2'!$Q98,
Титульный!$B$13:$B$157,'Расходы КФО 2'!$R98,
Титульный!$D$13:$D$157,'Расходы КФО 2'!$S98)</f>
        <v>0</v>
      </c>
      <c r="Q98" s="523">
        <v>2</v>
      </c>
      <c r="R98" s="523">
        <v>244</v>
      </c>
      <c r="S98" s="523">
        <v>225</v>
      </c>
      <c r="T98" s="523"/>
    </row>
    <row r="99" spans="1:20" s="331" customFormat="1" ht="12" customHeight="1" x14ac:dyDescent="0.2">
      <c r="B99" s="506"/>
      <c r="P99" s="362"/>
      <c r="Q99" s="531"/>
      <c r="R99" s="531"/>
      <c r="S99" s="531"/>
      <c r="T99" s="376"/>
    </row>
    <row r="100" spans="1:20" s="374" customFormat="1" ht="12" customHeight="1" x14ac:dyDescent="0.2">
      <c r="B100" s="506"/>
      <c r="Q100" s="531"/>
      <c r="R100" s="531"/>
      <c r="S100" s="531"/>
      <c r="T100" s="376"/>
    </row>
    <row r="101" spans="1:20" s="374" customFormat="1" ht="12" customHeight="1" x14ac:dyDescent="0.2">
      <c r="B101" s="506"/>
      <c r="Q101" s="531"/>
      <c r="R101" s="531"/>
      <c r="S101" s="531"/>
      <c r="T101" s="376"/>
    </row>
    <row r="102" spans="1:20" s="449" customFormat="1" ht="27.75" customHeight="1" x14ac:dyDescent="0.2">
      <c r="A102" s="989" t="s">
        <v>637</v>
      </c>
      <c r="B102" s="989"/>
      <c r="C102" s="989"/>
      <c r="D102" s="989"/>
      <c r="E102" s="989"/>
      <c r="F102" s="989"/>
      <c r="G102" s="989"/>
      <c r="H102" s="989"/>
      <c r="I102" s="989"/>
      <c r="J102" s="989"/>
      <c r="K102" s="989"/>
      <c r="L102" s="989"/>
      <c r="M102" s="989"/>
      <c r="N102" s="989"/>
      <c r="O102" s="989"/>
      <c r="P102" s="989"/>
      <c r="Q102" s="523"/>
      <c r="R102" s="523"/>
      <c r="S102" s="523"/>
      <c r="T102" s="448"/>
    </row>
    <row r="103" spans="1:20" s="331" customFormat="1" ht="12" customHeight="1" x14ac:dyDescent="0.2">
      <c r="B103" s="506"/>
      <c r="P103" s="362"/>
      <c r="Q103" s="531"/>
      <c r="R103" s="531"/>
      <c r="S103" s="531"/>
      <c r="T103" s="376"/>
    </row>
    <row r="104" spans="1:20" s="331" customFormat="1" ht="33" customHeight="1" x14ac:dyDescent="0.2">
      <c r="A104" s="1034" t="s">
        <v>598</v>
      </c>
      <c r="B104" s="1000" t="s">
        <v>484</v>
      </c>
      <c r="C104" s="1208" t="s">
        <v>610</v>
      </c>
      <c r="D104" s="1064"/>
      <c r="E104" s="1176" t="s">
        <v>831</v>
      </c>
      <c r="F104" s="1177"/>
      <c r="G104" s="1177"/>
      <c r="H104" s="1178"/>
      <c r="I104" s="1179" t="s">
        <v>825</v>
      </c>
      <c r="J104" s="1180"/>
      <c r="K104" s="1180"/>
      <c r="L104" s="1181"/>
      <c r="M104" s="1190" t="s">
        <v>823</v>
      </c>
      <c r="N104" s="1180"/>
      <c r="O104" s="1180"/>
      <c r="P104" s="1181"/>
      <c r="Q104" s="531"/>
      <c r="R104" s="531"/>
      <c r="S104" s="531"/>
      <c r="T104" s="376"/>
    </row>
    <row r="105" spans="1:20" s="331" customFormat="1" ht="51" x14ac:dyDescent="0.2">
      <c r="A105" s="1035"/>
      <c r="B105" s="1036"/>
      <c r="C105" s="1245"/>
      <c r="D105" s="1246"/>
      <c r="E105" s="399" t="s">
        <v>638</v>
      </c>
      <c r="F105" s="400" t="s">
        <v>639</v>
      </c>
      <c r="G105" s="1203" t="s">
        <v>553</v>
      </c>
      <c r="H105" s="1204"/>
      <c r="I105" s="399" t="s">
        <v>638</v>
      </c>
      <c r="J105" s="400" t="s">
        <v>639</v>
      </c>
      <c r="K105" s="1203" t="s">
        <v>553</v>
      </c>
      <c r="L105" s="1204"/>
      <c r="M105" s="399" t="s">
        <v>638</v>
      </c>
      <c r="N105" s="400" t="s">
        <v>639</v>
      </c>
      <c r="O105" s="1203" t="s">
        <v>553</v>
      </c>
      <c r="P105" s="1204"/>
      <c r="Q105" s="531"/>
      <c r="R105" s="531"/>
      <c r="S105" s="531"/>
      <c r="T105" s="376"/>
    </row>
    <row r="106" spans="1:20" s="331" customFormat="1" x14ac:dyDescent="0.2">
      <c r="A106" s="387" t="s">
        <v>6</v>
      </c>
      <c r="B106" s="767" t="s">
        <v>7</v>
      </c>
      <c r="C106" s="1247" t="s">
        <v>8</v>
      </c>
      <c r="D106" s="1248"/>
      <c r="E106" s="407">
        <v>4</v>
      </c>
      <c r="F106" s="395">
        <v>5</v>
      </c>
      <c r="G106" s="1004" t="s">
        <v>784</v>
      </c>
      <c r="H106" s="1005"/>
      <c r="I106" s="407">
        <v>7</v>
      </c>
      <c r="J106" s="395">
        <v>8</v>
      </c>
      <c r="K106" s="1004" t="s">
        <v>785</v>
      </c>
      <c r="L106" s="1005"/>
      <c r="M106" s="407" t="s">
        <v>463</v>
      </c>
      <c r="N106" s="395" t="s">
        <v>468</v>
      </c>
      <c r="O106" s="1004" t="s">
        <v>556</v>
      </c>
      <c r="P106" s="1005"/>
      <c r="Q106" s="531"/>
      <c r="R106" s="531"/>
      <c r="S106" s="531"/>
      <c r="T106" s="376"/>
    </row>
    <row r="107" spans="1:20" s="334" customFormat="1" ht="27.75" customHeight="1" x14ac:dyDescent="0.2">
      <c r="A107" s="452">
        <v>244</v>
      </c>
      <c r="B107" s="451">
        <v>1</v>
      </c>
      <c r="C107" s="1186" t="s">
        <v>727</v>
      </c>
      <c r="D107" s="1244"/>
      <c r="E107" s="465"/>
      <c r="F107" s="580"/>
      <c r="G107" s="1002">
        <f>E107*F107</f>
        <v>0</v>
      </c>
      <c r="H107" s="1003"/>
      <c r="I107" s="465"/>
      <c r="J107" s="580"/>
      <c r="K107" s="1002">
        <f>I107*J107</f>
        <v>0</v>
      </c>
      <c r="L107" s="1003"/>
      <c r="M107" s="465"/>
      <c r="N107" s="580"/>
      <c r="O107" s="1002">
        <f>M107*N107</f>
        <v>0</v>
      </c>
      <c r="P107" s="1003"/>
      <c r="Q107" s="523"/>
      <c r="R107" s="523"/>
      <c r="S107" s="523"/>
      <c r="T107" s="379"/>
    </row>
    <row r="108" spans="1:20" s="334" customFormat="1" ht="27.75" customHeight="1" x14ac:dyDescent="0.2">
      <c r="A108" s="452">
        <v>244</v>
      </c>
      <c r="B108" s="451">
        <v>2</v>
      </c>
      <c r="C108" s="1186" t="s">
        <v>728</v>
      </c>
      <c r="D108" s="1244"/>
      <c r="E108" s="465"/>
      <c r="F108" s="580"/>
      <c r="G108" s="1238">
        <f t="shared" ref="G108:G118" si="9">E108*F108</f>
        <v>0</v>
      </c>
      <c r="H108" s="1239"/>
      <c r="I108" s="465"/>
      <c r="J108" s="580"/>
      <c r="K108" s="1238">
        <f t="shared" ref="K108:K118" si="10">I108*J108</f>
        <v>0</v>
      </c>
      <c r="L108" s="1239"/>
      <c r="M108" s="465"/>
      <c r="N108" s="580"/>
      <c r="O108" s="1238">
        <f t="shared" ref="O108:O118" si="11">M108*N108</f>
        <v>0</v>
      </c>
      <c r="P108" s="1239"/>
      <c r="Q108" s="523"/>
      <c r="R108" s="523"/>
      <c r="S108" s="523"/>
      <c r="T108" s="379"/>
    </row>
    <row r="109" spans="1:20" s="334" customFormat="1" ht="27.75" customHeight="1" x14ac:dyDescent="0.2">
      <c r="A109" s="452">
        <v>244</v>
      </c>
      <c r="B109" s="451">
        <v>3</v>
      </c>
      <c r="C109" s="1186" t="s">
        <v>729</v>
      </c>
      <c r="D109" s="1244"/>
      <c r="E109" s="465"/>
      <c r="F109" s="580"/>
      <c r="G109" s="1238">
        <f t="shared" si="9"/>
        <v>0</v>
      </c>
      <c r="H109" s="1239"/>
      <c r="I109" s="465"/>
      <c r="J109" s="580"/>
      <c r="K109" s="1238">
        <f t="shared" si="10"/>
        <v>0</v>
      </c>
      <c r="L109" s="1239"/>
      <c r="M109" s="465"/>
      <c r="N109" s="580"/>
      <c r="O109" s="1238">
        <f t="shared" si="11"/>
        <v>0</v>
      </c>
      <c r="P109" s="1239"/>
      <c r="Q109" s="523"/>
      <c r="R109" s="523"/>
      <c r="S109" s="523"/>
      <c r="T109" s="379"/>
    </row>
    <row r="110" spans="1:20" s="334" customFormat="1" ht="27.75" customHeight="1" x14ac:dyDescent="0.2">
      <c r="A110" s="452">
        <v>244</v>
      </c>
      <c r="B110" s="451">
        <v>4</v>
      </c>
      <c r="C110" s="1186" t="s">
        <v>730</v>
      </c>
      <c r="D110" s="1244"/>
      <c r="E110" s="465"/>
      <c r="F110" s="580"/>
      <c r="G110" s="1238">
        <f t="shared" si="9"/>
        <v>0</v>
      </c>
      <c r="H110" s="1239"/>
      <c r="I110" s="465"/>
      <c r="J110" s="580"/>
      <c r="K110" s="1238">
        <f t="shared" si="10"/>
        <v>0</v>
      </c>
      <c r="L110" s="1239"/>
      <c r="M110" s="465"/>
      <c r="N110" s="580"/>
      <c r="O110" s="1238">
        <f t="shared" si="11"/>
        <v>0</v>
      </c>
      <c r="P110" s="1239"/>
      <c r="Q110" s="523"/>
      <c r="R110" s="523"/>
      <c r="S110" s="523"/>
      <c r="T110" s="379"/>
    </row>
    <row r="111" spans="1:20" s="334" customFormat="1" ht="27.75" customHeight="1" x14ac:dyDescent="0.2">
      <c r="A111" s="452">
        <v>244</v>
      </c>
      <c r="B111" s="451">
        <v>5</v>
      </c>
      <c r="C111" s="1186" t="s">
        <v>731</v>
      </c>
      <c r="D111" s="1244"/>
      <c r="E111" s="465"/>
      <c r="F111" s="580"/>
      <c r="G111" s="1238">
        <f t="shared" si="9"/>
        <v>0</v>
      </c>
      <c r="H111" s="1239"/>
      <c r="I111" s="465"/>
      <c r="J111" s="580"/>
      <c r="K111" s="1238">
        <f t="shared" si="10"/>
        <v>0</v>
      </c>
      <c r="L111" s="1239"/>
      <c r="M111" s="465"/>
      <c r="N111" s="580"/>
      <c r="O111" s="1238">
        <f t="shared" si="11"/>
        <v>0</v>
      </c>
      <c r="P111" s="1239"/>
      <c r="Q111" s="523"/>
      <c r="R111" s="523"/>
      <c r="S111" s="523"/>
      <c r="T111" s="379"/>
    </row>
    <row r="112" spans="1:20" s="334" customFormat="1" ht="27.75" customHeight="1" x14ac:dyDescent="0.2">
      <c r="A112" s="452">
        <v>244</v>
      </c>
      <c r="B112" s="451">
        <v>6</v>
      </c>
      <c r="C112" s="1186" t="s">
        <v>733</v>
      </c>
      <c r="D112" s="1244"/>
      <c r="E112" s="465"/>
      <c r="F112" s="580"/>
      <c r="G112" s="1238">
        <f t="shared" si="9"/>
        <v>0</v>
      </c>
      <c r="H112" s="1239"/>
      <c r="I112" s="465"/>
      <c r="J112" s="580"/>
      <c r="K112" s="1238">
        <f t="shared" si="10"/>
        <v>0</v>
      </c>
      <c r="L112" s="1239"/>
      <c r="M112" s="465"/>
      <c r="N112" s="580"/>
      <c r="O112" s="1238">
        <f t="shared" si="11"/>
        <v>0</v>
      </c>
      <c r="P112" s="1239"/>
      <c r="Q112" s="523"/>
      <c r="R112" s="523"/>
      <c r="S112" s="523"/>
      <c r="T112" s="379"/>
    </row>
    <row r="113" spans="1:20" s="334" customFormat="1" ht="27.75" customHeight="1" x14ac:dyDescent="0.2">
      <c r="A113" s="452">
        <v>244</v>
      </c>
      <c r="B113" s="451">
        <v>7</v>
      </c>
      <c r="C113" s="1186" t="s">
        <v>734</v>
      </c>
      <c r="D113" s="1244"/>
      <c r="E113" s="465"/>
      <c r="F113" s="580"/>
      <c r="G113" s="1238">
        <f t="shared" si="9"/>
        <v>0</v>
      </c>
      <c r="H113" s="1239"/>
      <c r="I113" s="465"/>
      <c r="J113" s="580"/>
      <c r="K113" s="1238">
        <f t="shared" si="10"/>
        <v>0</v>
      </c>
      <c r="L113" s="1239"/>
      <c r="M113" s="465"/>
      <c r="N113" s="580"/>
      <c r="O113" s="1238">
        <f t="shared" si="11"/>
        <v>0</v>
      </c>
      <c r="P113" s="1239"/>
      <c r="Q113" s="523"/>
      <c r="R113" s="523"/>
      <c r="S113" s="523"/>
      <c r="T113" s="379"/>
    </row>
    <row r="114" spans="1:20" s="334" customFormat="1" ht="27.75" customHeight="1" x14ac:dyDescent="0.2">
      <c r="A114" s="452">
        <v>244</v>
      </c>
      <c r="B114" s="451">
        <v>8</v>
      </c>
      <c r="C114" s="1186" t="s">
        <v>735</v>
      </c>
      <c r="D114" s="1244"/>
      <c r="E114" s="465"/>
      <c r="F114" s="580"/>
      <c r="G114" s="1238">
        <f t="shared" si="9"/>
        <v>0</v>
      </c>
      <c r="H114" s="1239"/>
      <c r="I114" s="465"/>
      <c r="J114" s="580"/>
      <c r="K114" s="1238">
        <f t="shared" si="10"/>
        <v>0</v>
      </c>
      <c r="L114" s="1239"/>
      <c r="M114" s="465"/>
      <c r="N114" s="580"/>
      <c r="O114" s="1238">
        <f t="shared" si="11"/>
        <v>0</v>
      </c>
      <c r="P114" s="1239"/>
      <c r="Q114" s="523"/>
      <c r="R114" s="523"/>
      <c r="S114" s="523"/>
      <c r="T114" s="379"/>
    </row>
    <row r="115" spans="1:20" s="334" customFormat="1" ht="27.75" customHeight="1" x14ac:dyDescent="0.2">
      <c r="A115" s="452">
        <v>244</v>
      </c>
      <c r="B115" s="451">
        <v>9</v>
      </c>
      <c r="C115" s="1186" t="s">
        <v>737</v>
      </c>
      <c r="D115" s="1244"/>
      <c r="E115" s="465"/>
      <c r="F115" s="580"/>
      <c r="G115" s="1238">
        <f t="shared" si="9"/>
        <v>0</v>
      </c>
      <c r="H115" s="1239"/>
      <c r="I115" s="465"/>
      <c r="J115" s="580"/>
      <c r="K115" s="1238">
        <f t="shared" si="10"/>
        <v>0</v>
      </c>
      <c r="L115" s="1239"/>
      <c r="M115" s="465"/>
      <c r="N115" s="580"/>
      <c r="O115" s="1238">
        <f t="shared" si="11"/>
        <v>0</v>
      </c>
      <c r="P115" s="1239"/>
      <c r="Q115" s="523"/>
      <c r="R115" s="523"/>
      <c r="S115" s="523"/>
      <c r="T115" s="379"/>
    </row>
    <row r="116" spans="1:20" s="334" customFormat="1" ht="27.75" customHeight="1" x14ac:dyDescent="0.2">
      <c r="A116" s="452">
        <v>244</v>
      </c>
      <c r="B116" s="451">
        <v>10</v>
      </c>
      <c r="C116" s="1186" t="s">
        <v>738</v>
      </c>
      <c r="D116" s="1244"/>
      <c r="E116" s="465"/>
      <c r="F116" s="580"/>
      <c r="G116" s="1238">
        <f t="shared" si="9"/>
        <v>0</v>
      </c>
      <c r="H116" s="1239"/>
      <c r="I116" s="465"/>
      <c r="J116" s="580"/>
      <c r="K116" s="1238">
        <f t="shared" si="10"/>
        <v>0</v>
      </c>
      <c r="L116" s="1239"/>
      <c r="M116" s="465"/>
      <c r="N116" s="580"/>
      <c r="O116" s="1238">
        <f t="shared" si="11"/>
        <v>0</v>
      </c>
      <c r="P116" s="1239"/>
      <c r="Q116" s="523"/>
      <c r="R116" s="523"/>
      <c r="S116" s="523"/>
      <c r="T116" s="379"/>
    </row>
    <row r="117" spans="1:20" s="334" customFormat="1" ht="27.75" customHeight="1" x14ac:dyDescent="0.2">
      <c r="A117" s="452">
        <v>244</v>
      </c>
      <c r="B117" s="451">
        <v>11</v>
      </c>
      <c r="C117" s="1186" t="s">
        <v>739</v>
      </c>
      <c r="D117" s="1244"/>
      <c r="E117" s="465"/>
      <c r="F117" s="580"/>
      <c r="G117" s="1238">
        <f t="shared" si="9"/>
        <v>0</v>
      </c>
      <c r="H117" s="1239"/>
      <c r="I117" s="465"/>
      <c r="J117" s="580"/>
      <c r="K117" s="1238">
        <f t="shared" si="10"/>
        <v>0</v>
      </c>
      <c r="L117" s="1239"/>
      <c r="M117" s="465"/>
      <c r="N117" s="580"/>
      <c r="O117" s="1238">
        <f t="shared" si="11"/>
        <v>0</v>
      </c>
      <c r="P117" s="1239"/>
      <c r="Q117" s="523"/>
      <c r="R117" s="523"/>
      <c r="S117" s="523"/>
      <c r="T117" s="379"/>
    </row>
    <row r="118" spans="1:20" s="334" customFormat="1" ht="29.45" customHeight="1" x14ac:dyDescent="0.2">
      <c r="A118" s="452">
        <v>244</v>
      </c>
      <c r="B118" s="451">
        <v>12</v>
      </c>
      <c r="C118" s="1186" t="s">
        <v>741</v>
      </c>
      <c r="D118" s="1244"/>
      <c r="E118" s="465"/>
      <c r="F118" s="580"/>
      <c r="G118" s="1238">
        <f t="shared" si="9"/>
        <v>0</v>
      </c>
      <c r="H118" s="1239"/>
      <c r="I118" s="465"/>
      <c r="J118" s="580"/>
      <c r="K118" s="1238">
        <f t="shared" si="10"/>
        <v>0</v>
      </c>
      <c r="L118" s="1239"/>
      <c r="M118" s="465"/>
      <c r="N118" s="580"/>
      <c r="O118" s="1238">
        <f t="shared" si="11"/>
        <v>0</v>
      </c>
      <c r="P118" s="1239"/>
      <c r="Q118" s="523"/>
      <c r="R118" s="523"/>
      <c r="S118" s="523"/>
      <c r="T118" s="379"/>
    </row>
    <row r="119" spans="1:20" s="334" customFormat="1" ht="27.75" customHeight="1" x14ac:dyDescent="0.2">
      <c r="A119" s="452">
        <v>244</v>
      </c>
      <c r="B119" s="451">
        <v>13</v>
      </c>
      <c r="C119" s="1186" t="s">
        <v>732</v>
      </c>
      <c r="D119" s="1244"/>
      <c r="E119" s="465"/>
      <c r="F119" s="580"/>
      <c r="G119" s="1002">
        <f>Титульный!E28</f>
        <v>0</v>
      </c>
      <c r="H119" s="1003"/>
      <c r="I119" s="465"/>
      <c r="J119" s="580"/>
      <c r="K119" s="1002">
        <f>Титульный!F28</f>
        <v>0</v>
      </c>
      <c r="L119" s="1003"/>
      <c r="M119" s="465"/>
      <c r="N119" s="580"/>
      <c r="O119" s="1002">
        <f>Титульный!G28</f>
        <v>0</v>
      </c>
      <c r="P119" s="1003"/>
      <c r="Q119" s="523"/>
      <c r="R119" s="523"/>
      <c r="S119" s="523"/>
      <c r="T119" s="379"/>
    </row>
    <row r="120" spans="1:20" s="334" customFormat="1" ht="27.75" customHeight="1" x14ac:dyDescent="0.2">
      <c r="A120" s="452">
        <v>244</v>
      </c>
      <c r="B120" s="451">
        <v>14</v>
      </c>
      <c r="C120" s="1186" t="s">
        <v>736</v>
      </c>
      <c r="D120" s="1244"/>
      <c r="E120" s="465"/>
      <c r="F120" s="580"/>
      <c r="G120" s="1002">
        <f>Титульный!E29</f>
        <v>0</v>
      </c>
      <c r="H120" s="1003"/>
      <c r="I120" s="465"/>
      <c r="J120" s="580"/>
      <c r="K120" s="1002">
        <f>Титульный!F29</f>
        <v>0</v>
      </c>
      <c r="L120" s="1003"/>
      <c r="M120" s="465"/>
      <c r="N120" s="580"/>
      <c r="O120" s="1002">
        <f>Титульный!G29</f>
        <v>0</v>
      </c>
      <c r="P120" s="1003"/>
      <c r="Q120" s="523"/>
      <c r="R120" s="523"/>
      <c r="S120" s="523"/>
      <c r="T120" s="379"/>
    </row>
    <row r="121" spans="1:20" s="334" customFormat="1" ht="27.75" customHeight="1" x14ac:dyDescent="0.2">
      <c r="A121" s="493">
        <v>244</v>
      </c>
      <c r="B121" s="496">
        <v>15</v>
      </c>
      <c r="C121" s="1182" t="s">
        <v>740</v>
      </c>
      <c r="D121" s="1265"/>
      <c r="E121" s="469"/>
      <c r="F121" s="665"/>
      <c r="G121" s="1070">
        <f>G122-SUM(G107:H118)</f>
        <v>48500</v>
      </c>
      <c r="H121" s="1075"/>
      <c r="I121" s="469"/>
      <c r="J121" s="665"/>
      <c r="K121" s="1070">
        <f>K122-SUM(K107:L118)</f>
        <v>48500</v>
      </c>
      <c r="L121" s="1075"/>
      <c r="M121" s="469"/>
      <c r="N121" s="665"/>
      <c r="O121" s="1070">
        <f>O122-SUM(O107:P118)</f>
        <v>48500</v>
      </c>
      <c r="P121" s="1075"/>
      <c r="Q121" s="523"/>
      <c r="R121" s="523"/>
      <c r="S121" s="523"/>
      <c r="T121" s="379"/>
    </row>
    <row r="122" spans="1:20" s="524" customFormat="1" ht="27.75" customHeight="1" x14ac:dyDescent="0.2">
      <c r="A122" s="517"/>
      <c r="B122" s="522"/>
      <c r="C122" s="1249" t="s">
        <v>611</v>
      </c>
      <c r="D122" s="1250"/>
      <c r="E122" s="512" t="s">
        <v>462</v>
      </c>
      <c r="F122" s="511" t="s">
        <v>462</v>
      </c>
      <c r="G122" s="1008">
        <f>SUMIFS(Титульный!$E$13:$E$157,Титульный!$A$13:$A$157,'Расходы КФО 2'!$Q122,Титульный!$B$13:$B$157,'Расходы КФО 2'!$R122,Титульный!$D$13:$D$157,'Расходы КФО 2'!$S122)</f>
        <v>48500</v>
      </c>
      <c r="H122" s="1009">
        <f>SUMIFS(Титульный!$E$13:$E$157,Титульный!$A$13:$A$157,'Расходы КФО 2'!$Q122,Титульный!$B$13:$B$157,'Расходы КФО 2'!$R122,Титульный!$D$13:$D$157,'Расходы КФО 2'!$S122)</f>
        <v>48500</v>
      </c>
      <c r="I122" s="512" t="s">
        <v>462</v>
      </c>
      <c r="J122" s="511" t="s">
        <v>462</v>
      </c>
      <c r="K122" s="1008">
        <f>SUMIFS(Титульный!$F$13:$F$157,
Титульный!$A$13:$A$157,'Расходы КФО 2'!$Q122,
Титульный!$B$13:$B$157,'Расходы КФО 2'!$R122,
Титульный!$D$13:$D$157,'Расходы КФО 2'!$S122)</f>
        <v>48500</v>
      </c>
      <c r="L122" s="1009">
        <f>SUMIFS(Титульный!$F$13:$F$157,
Титульный!$A$13:$A$157,'Расходы КФО 2'!$Q122,
Титульный!$B$13:$B$157,'Расходы КФО 2'!$R122,
Титульный!$D$13:$D$157,'Расходы КФО 2'!$S122)</f>
        <v>48500</v>
      </c>
      <c r="M122" s="510" t="s">
        <v>462</v>
      </c>
      <c r="N122" s="511" t="s">
        <v>462</v>
      </c>
      <c r="O122" s="1008">
        <f>SUMIFS(Титульный!$G$13:$G$157,
Титульный!$A$13:$A$157,'Расходы КФО 2'!$Q122,
Титульный!$B$13:$B$157,'Расходы КФО 2'!$R122,
Титульный!$D$13:$D$157,'Расходы КФО 2'!$S122)</f>
        <v>48500</v>
      </c>
      <c r="P122" s="1009">
        <f>SUMIFS(Титульный!$G$13:$G$157,
Титульный!$A$13:$A$157,'Расходы КФО 2'!$Q122,
Титульный!$B$13:$B$157,'Расходы КФО 2'!$R122,
Титульный!$D$13:$D$157,'Расходы КФО 2'!$S122)</f>
        <v>48500</v>
      </c>
      <c r="Q122" s="523">
        <v>2</v>
      </c>
      <c r="R122" s="523">
        <v>244</v>
      </c>
      <c r="S122" s="523">
        <v>226</v>
      </c>
      <c r="T122" s="523"/>
    </row>
    <row r="123" spans="1:20" s="331" customFormat="1" ht="12" customHeight="1" x14ac:dyDescent="0.2">
      <c r="B123" s="506"/>
      <c r="P123" s="362"/>
      <c r="Q123" s="531"/>
      <c r="R123" s="531"/>
      <c r="S123" s="531"/>
      <c r="T123" s="376"/>
    </row>
    <row r="124" spans="1:20" s="374" customFormat="1" ht="12" customHeight="1" x14ac:dyDescent="0.2">
      <c r="B124" s="506"/>
      <c r="Q124" s="531"/>
      <c r="R124" s="531"/>
      <c r="S124" s="531"/>
      <c r="T124" s="376"/>
    </row>
    <row r="125" spans="1:20" s="374" customFormat="1" ht="12" customHeight="1" x14ac:dyDescent="0.2">
      <c r="B125" s="506"/>
      <c r="Q125" s="531"/>
      <c r="R125" s="531"/>
      <c r="S125" s="531"/>
      <c r="T125" s="376"/>
    </row>
    <row r="126" spans="1:20" s="449" customFormat="1" ht="27.75" customHeight="1" x14ac:dyDescent="0.2">
      <c r="A126" s="989" t="s">
        <v>640</v>
      </c>
      <c r="B126" s="989"/>
      <c r="C126" s="989"/>
      <c r="D126" s="989"/>
      <c r="E126" s="989"/>
      <c r="F126" s="989"/>
      <c r="G126" s="989"/>
      <c r="H126" s="989"/>
      <c r="I126" s="989"/>
      <c r="J126" s="989"/>
      <c r="K126" s="989"/>
      <c r="L126" s="989"/>
      <c r="M126" s="989"/>
      <c r="N126" s="989"/>
      <c r="O126" s="989"/>
      <c r="P126" s="989"/>
      <c r="Q126" s="523"/>
      <c r="R126" s="523"/>
      <c r="S126" s="523"/>
      <c r="T126" s="448"/>
    </row>
    <row r="127" spans="1:20" s="331" customFormat="1" ht="12" customHeight="1" x14ac:dyDescent="0.2">
      <c r="B127" s="506"/>
      <c r="P127" s="362"/>
      <c r="Q127" s="531"/>
      <c r="R127" s="531"/>
      <c r="S127" s="531"/>
      <c r="T127" s="376"/>
    </row>
    <row r="128" spans="1:20" s="331" customFormat="1" ht="15.75" customHeight="1" x14ac:dyDescent="0.2">
      <c r="A128" s="1034" t="s">
        <v>598</v>
      </c>
      <c r="B128" s="1000" t="s">
        <v>484</v>
      </c>
      <c r="C128" s="1208" t="s">
        <v>610</v>
      </c>
      <c r="D128" s="1064"/>
      <c r="E128" s="1277" t="s">
        <v>553</v>
      </c>
      <c r="F128" s="1278"/>
      <c r="G128" s="1278"/>
      <c r="H128" s="1278"/>
      <c r="I128" s="1278"/>
      <c r="J128" s="1278"/>
      <c r="K128" s="1278"/>
      <c r="L128" s="1278"/>
      <c r="M128" s="1278"/>
      <c r="N128" s="1278"/>
      <c r="O128" s="1278"/>
      <c r="P128" s="1279"/>
      <c r="Q128" s="531"/>
      <c r="R128" s="531"/>
      <c r="S128" s="531"/>
      <c r="T128" s="376"/>
    </row>
    <row r="129" spans="1:23" s="331" customFormat="1" ht="50.25" customHeight="1" x14ac:dyDescent="0.2">
      <c r="A129" s="1035"/>
      <c r="B129" s="1036"/>
      <c r="C129" s="1214"/>
      <c r="D129" s="1066"/>
      <c r="E129" s="1266" t="s">
        <v>831</v>
      </c>
      <c r="F129" s="1267"/>
      <c r="G129" s="1267"/>
      <c r="H129" s="1268"/>
      <c r="I129" s="1035" t="s">
        <v>825</v>
      </c>
      <c r="J129" s="1036"/>
      <c r="K129" s="1036"/>
      <c r="L129" s="1218"/>
      <c r="M129" s="1269" t="s">
        <v>823</v>
      </c>
      <c r="N129" s="1036"/>
      <c r="O129" s="1036"/>
      <c r="P129" s="1218"/>
      <c r="Q129" s="531"/>
      <c r="R129" s="531"/>
      <c r="S129" s="531"/>
      <c r="T129" s="376"/>
    </row>
    <row r="130" spans="1:23" s="331" customFormat="1" x14ac:dyDescent="0.2">
      <c r="A130" s="715" t="s">
        <v>6</v>
      </c>
      <c r="B130" s="720" t="s">
        <v>7</v>
      </c>
      <c r="C130" s="1004" t="s">
        <v>8</v>
      </c>
      <c r="D130" s="1005"/>
      <c r="E130" s="1270">
        <v>4</v>
      </c>
      <c r="F130" s="1271"/>
      <c r="G130" s="1271"/>
      <c r="H130" s="1248"/>
      <c r="I130" s="1017">
        <v>5</v>
      </c>
      <c r="J130" s="1004"/>
      <c r="K130" s="1004"/>
      <c r="L130" s="1005"/>
      <c r="M130" s="1052">
        <v>6</v>
      </c>
      <c r="N130" s="1004"/>
      <c r="O130" s="1004"/>
      <c r="P130" s="1005"/>
      <c r="Q130" s="531"/>
      <c r="R130" s="531"/>
      <c r="S130" s="531"/>
      <c r="T130" s="376"/>
    </row>
    <row r="131" spans="1:23" s="334" customFormat="1" ht="27.75" customHeight="1" x14ac:dyDescent="0.2">
      <c r="A131" s="486">
        <v>244</v>
      </c>
      <c r="B131" s="497" t="s">
        <v>6</v>
      </c>
      <c r="C131" s="1167" t="s">
        <v>742</v>
      </c>
      <c r="D131" s="1240"/>
      <c r="E131" s="1048"/>
      <c r="F131" s="1049"/>
      <c r="G131" s="1049"/>
      <c r="H131" s="1050"/>
      <c r="I131" s="990"/>
      <c r="J131" s="991"/>
      <c r="K131" s="991"/>
      <c r="L131" s="996"/>
      <c r="M131" s="1243"/>
      <c r="N131" s="991"/>
      <c r="O131" s="991"/>
      <c r="P131" s="996"/>
      <c r="Q131" s="523"/>
      <c r="R131" s="523"/>
      <c r="S131" s="523"/>
      <c r="T131" s="379"/>
    </row>
    <row r="132" spans="1:23" s="334" customFormat="1" ht="27.75" customHeight="1" x14ac:dyDescent="0.2">
      <c r="A132" s="452"/>
      <c r="B132" s="451"/>
      <c r="C132" s="1186"/>
      <c r="D132" s="1244"/>
      <c r="E132" s="1272"/>
      <c r="F132" s="1273"/>
      <c r="G132" s="1273"/>
      <c r="H132" s="1239"/>
      <c r="I132" s="1022"/>
      <c r="J132" s="1002"/>
      <c r="K132" s="1002"/>
      <c r="L132" s="1003"/>
      <c r="M132" s="1073"/>
      <c r="N132" s="1002"/>
      <c r="O132" s="1002"/>
      <c r="P132" s="1003"/>
      <c r="Q132" s="523"/>
      <c r="R132" s="523"/>
      <c r="S132" s="523"/>
      <c r="T132" s="379"/>
    </row>
    <row r="133" spans="1:23" s="334" customFormat="1" ht="27.75" customHeight="1" x14ac:dyDescent="0.2">
      <c r="A133" s="490"/>
      <c r="B133" s="455"/>
      <c r="C133" s="1182"/>
      <c r="D133" s="1265"/>
      <c r="E133" s="1274"/>
      <c r="F133" s="1275"/>
      <c r="G133" s="1275"/>
      <c r="H133" s="1149"/>
      <c r="I133" s="1242"/>
      <c r="J133" s="1070"/>
      <c r="K133" s="1070"/>
      <c r="L133" s="1075"/>
      <c r="M133" s="1074"/>
      <c r="N133" s="1070"/>
      <c r="O133" s="1070"/>
      <c r="P133" s="1075"/>
      <c r="Q133" s="523"/>
      <c r="R133" s="523"/>
      <c r="S133" s="523"/>
      <c r="T133" s="379"/>
    </row>
    <row r="134" spans="1:23" s="524" customFormat="1" ht="27.75" customHeight="1" x14ac:dyDescent="0.2">
      <c r="A134" s="508"/>
      <c r="B134" s="515"/>
      <c r="C134" s="1156" t="s">
        <v>611</v>
      </c>
      <c r="D134" s="1276"/>
      <c r="E134" s="1280">
        <f>SUMIFS(Титульный!$E$13:$E$157,Титульный!$A$13:$A$157,'Расходы КФО 2'!$Q134,Титульный!$B$13:$B$157,'Расходы КФО 2'!$R134,Титульный!$D$13:$D$157,'Расходы КФО 2'!$S134)</f>
        <v>0</v>
      </c>
      <c r="F134" s="1191">
        <f>SUMIFS(Титульный!$E$13:$E$157,Титульный!$A$13:$A$157,'Расходы КФО 2'!$Q134,Титульный!$B$13:$B$157,'Расходы КФО 2'!$R134,Титульный!$D$13:$D$157,'Расходы КФО 2'!$S134)</f>
        <v>0</v>
      </c>
      <c r="G134" s="1191">
        <f>SUMIFS(Титульный!$E$13:$E$157,Титульный!$A$13:$A$157,'Расходы КФО 2'!$Q134,Титульный!$B$13:$B$157,'Расходы КФО 2'!$R134,Титульный!$D$13:$D$157,'Расходы КФО 2'!$S134)</f>
        <v>0</v>
      </c>
      <c r="H134" s="1151">
        <f>SUMIFS(Титульный!$E$13:$E$157,Титульный!$A$13:$A$157,'Расходы КФО 2'!$Q134,Титульный!$B$13:$B$157,'Расходы КФО 2'!$R134,Титульный!$D$13:$D$157,'Расходы КФО 2'!$S134)</f>
        <v>0</v>
      </c>
      <c r="I134" s="1019">
        <f>SUMIFS(Титульный!$E$13:$E$157,Титульный!$A$13:$A$157,'Расходы КФО 2'!$Q134,Титульный!$B$13:$B$157,'Расходы КФО 2'!$R134,Титульный!$D$13:$D$157,'Расходы КФО 2'!$S134)</f>
        <v>0</v>
      </c>
      <c r="J134" s="1008">
        <f>SUMIFS(Титульный!$E$13:$E$157,Титульный!$A$13:$A$157,'Расходы КФО 2'!$Q134,Титульный!$B$13:$B$157,'Расходы КФО 2'!$R134,Титульный!$D$13:$D$157,'Расходы КФО 2'!$S134)</f>
        <v>0</v>
      </c>
      <c r="K134" s="1008">
        <f>SUMIFS(Титульный!$E$13:$E$157,Титульный!$A$13:$A$157,'Расходы КФО 2'!$Q134,Титульный!$B$13:$B$157,'Расходы КФО 2'!$R134,Титульный!$D$13:$D$157,'Расходы КФО 2'!$S134)</f>
        <v>0</v>
      </c>
      <c r="L134" s="1009">
        <f>SUMIFS(Титульный!$E$13:$E$157,Титульный!$A$13:$A$157,'Расходы КФО 2'!$Q134,Титульный!$B$13:$B$157,'Расходы КФО 2'!$R134,Титульный!$D$13:$D$157,'Расходы КФО 2'!$S134)</f>
        <v>0</v>
      </c>
      <c r="M134" s="1021">
        <f>SUMIFS(Титульный!$E$13:$E$157,Титульный!$A$13:$A$157,'Расходы КФО 2'!$Q134,Титульный!$B$13:$B$157,'Расходы КФО 2'!$R134,Титульный!$D$13:$D$157,'Расходы КФО 2'!$S134)</f>
        <v>0</v>
      </c>
      <c r="N134" s="1008">
        <f>SUMIFS(Титульный!$E$13:$E$157,Титульный!$A$13:$A$157,'Расходы КФО 2'!$Q134,Титульный!$B$13:$B$157,'Расходы КФО 2'!$R134,Титульный!$D$13:$D$157,'Расходы КФО 2'!$S134)</f>
        <v>0</v>
      </c>
      <c r="O134" s="1008">
        <f>SUMIFS(Титульный!$E$13:$E$157,Титульный!$A$13:$A$157,'Расходы КФО 2'!$Q134,Титульный!$B$13:$B$157,'Расходы КФО 2'!$R134,Титульный!$D$13:$D$157,'Расходы КФО 2'!$S134)</f>
        <v>0</v>
      </c>
      <c r="P134" s="1009">
        <f>SUMIFS(Титульный!$E$13:$E$157,Титульный!$A$13:$A$157,'Расходы КФО 2'!$Q134,Титульный!$B$13:$B$157,'Расходы КФО 2'!$R134,Титульный!$D$13:$D$157,'Расходы КФО 2'!$S134)</f>
        <v>0</v>
      </c>
      <c r="Q134" s="523">
        <v>2</v>
      </c>
      <c r="R134" s="523">
        <v>244</v>
      </c>
      <c r="S134" s="523">
        <v>227</v>
      </c>
      <c r="T134" s="523"/>
    </row>
    <row r="135" spans="1:23" s="331" customFormat="1" ht="12" customHeight="1" x14ac:dyDescent="0.2">
      <c r="B135" s="506"/>
      <c r="P135" s="362"/>
      <c r="Q135" s="531"/>
      <c r="R135" s="531"/>
      <c r="S135" s="531"/>
      <c r="T135" s="376"/>
    </row>
    <row r="136" spans="1:23" s="374" customFormat="1" ht="12" customHeight="1" x14ac:dyDescent="0.2">
      <c r="B136" s="506"/>
      <c r="Q136" s="531"/>
      <c r="R136" s="531"/>
      <c r="S136" s="531"/>
      <c r="T136" s="376"/>
    </row>
    <row r="137" spans="1:23" s="374" customFormat="1" ht="12" customHeight="1" x14ac:dyDescent="0.2">
      <c r="B137" s="506"/>
      <c r="Q137" s="531"/>
      <c r="R137" s="531"/>
      <c r="S137" s="531"/>
      <c r="T137" s="376"/>
    </row>
    <row r="138" spans="1:23" s="449" customFormat="1" ht="27.75" customHeight="1" x14ac:dyDescent="0.2">
      <c r="A138" s="989" t="s">
        <v>641</v>
      </c>
      <c r="B138" s="989"/>
      <c r="C138" s="989"/>
      <c r="D138" s="989"/>
      <c r="E138" s="989"/>
      <c r="F138" s="989"/>
      <c r="G138" s="989"/>
      <c r="H138" s="989"/>
      <c r="I138" s="989"/>
      <c r="J138" s="989"/>
      <c r="K138" s="989"/>
      <c r="L138" s="989"/>
      <c r="M138" s="989"/>
      <c r="N138" s="989"/>
      <c r="O138" s="989"/>
      <c r="P138" s="989"/>
      <c r="Q138" s="523"/>
      <c r="R138" s="523"/>
      <c r="S138" s="523"/>
      <c r="T138" s="448"/>
    </row>
    <row r="139" spans="1:23" s="331" customFormat="1" ht="12" customHeight="1" x14ac:dyDescent="0.2">
      <c r="B139" s="506"/>
      <c r="P139" s="362"/>
      <c r="Q139" s="531"/>
      <c r="R139" s="531"/>
      <c r="S139" s="531"/>
      <c r="T139" s="376"/>
    </row>
    <row r="140" spans="1:23" s="331" customFormat="1" ht="33.75" customHeight="1" x14ac:dyDescent="0.2">
      <c r="A140" s="1034" t="s">
        <v>598</v>
      </c>
      <c r="B140" s="1000" t="s">
        <v>484</v>
      </c>
      <c r="C140" s="1208" t="s">
        <v>610</v>
      </c>
      <c r="D140" s="1064"/>
      <c r="E140" s="1138" t="s">
        <v>831</v>
      </c>
      <c r="F140" s="1139"/>
      <c r="G140" s="1139"/>
      <c r="H140" s="1140"/>
      <c r="I140" s="1179" t="s">
        <v>825</v>
      </c>
      <c r="J140" s="1180"/>
      <c r="K140" s="1180"/>
      <c r="L140" s="1181"/>
      <c r="M140" s="1190" t="s">
        <v>823</v>
      </c>
      <c r="N140" s="1180"/>
      <c r="O140" s="1180"/>
      <c r="P140" s="1181"/>
      <c r="Q140" s="531"/>
      <c r="R140" s="531"/>
      <c r="S140" s="531"/>
      <c r="T140" s="376"/>
    </row>
    <row r="141" spans="1:23" s="331" customFormat="1" ht="38.25" x14ac:dyDescent="0.2">
      <c r="A141" s="1035"/>
      <c r="B141" s="1036"/>
      <c r="C141" s="1214"/>
      <c r="D141" s="1066"/>
      <c r="E141" s="399" t="s">
        <v>635</v>
      </c>
      <c r="F141" s="401" t="s">
        <v>636</v>
      </c>
      <c r="G141" s="1241" t="s">
        <v>553</v>
      </c>
      <c r="H141" s="1204"/>
      <c r="I141" s="399" t="s">
        <v>635</v>
      </c>
      <c r="J141" s="401" t="s">
        <v>636</v>
      </c>
      <c r="K141" s="1241" t="s">
        <v>553</v>
      </c>
      <c r="L141" s="1204"/>
      <c r="M141" s="399" t="s">
        <v>635</v>
      </c>
      <c r="N141" s="401" t="s">
        <v>636</v>
      </c>
      <c r="O141" s="1241" t="s">
        <v>553</v>
      </c>
      <c r="P141" s="1204"/>
      <c r="Q141" s="531"/>
      <c r="R141" s="531"/>
      <c r="S141" s="531"/>
      <c r="T141" s="376"/>
      <c r="V141" s="362"/>
      <c r="W141" s="362"/>
    </row>
    <row r="142" spans="1:23" s="331" customFormat="1" x14ac:dyDescent="0.2">
      <c r="A142" s="718" t="s">
        <v>6</v>
      </c>
      <c r="B142" s="442" t="s">
        <v>7</v>
      </c>
      <c r="C142" s="1004" t="s">
        <v>8</v>
      </c>
      <c r="D142" s="1005"/>
      <c r="E142" s="419">
        <v>4</v>
      </c>
      <c r="F142" s="398">
        <v>5</v>
      </c>
      <c r="G142" s="1004" t="s">
        <v>784</v>
      </c>
      <c r="H142" s="1005"/>
      <c r="I142" s="419">
        <v>7</v>
      </c>
      <c r="J142" s="398">
        <v>8</v>
      </c>
      <c r="K142" s="1004" t="s">
        <v>785</v>
      </c>
      <c r="L142" s="1005"/>
      <c r="M142" s="419" t="s">
        <v>463</v>
      </c>
      <c r="N142" s="398" t="s">
        <v>468</v>
      </c>
      <c r="O142" s="1004" t="s">
        <v>556</v>
      </c>
      <c r="P142" s="1005"/>
      <c r="Q142" s="531"/>
      <c r="R142" s="531"/>
      <c r="S142" s="531"/>
      <c r="T142" s="376"/>
      <c r="V142" s="362"/>
      <c r="W142" s="362"/>
    </row>
    <row r="143" spans="1:23" s="334" customFormat="1" ht="27.75" customHeight="1" x14ac:dyDescent="0.2">
      <c r="A143" s="475"/>
      <c r="B143" s="476">
        <v>1</v>
      </c>
      <c r="C143" s="1167"/>
      <c r="D143" s="1240"/>
      <c r="E143" s="465"/>
      <c r="F143" s="580"/>
      <c r="G143" s="1002"/>
      <c r="H143" s="1003"/>
      <c r="I143" s="465"/>
      <c r="J143" s="580"/>
      <c r="K143" s="1002"/>
      <c r="L143" s="1003"/>
      <c r="M143" s="465"/>
      <c r="N143" s="580"/>
      <c r="O143" s="1002"/>
      <c r="P143" s="1003"/>
      <c r="Q143" s="523"/>
      <c r="R143" s="523"/>
      <c r="S143" s="523"/>
      <c r="T143" s="379"/>
    </row>
    <row r="144" spans="1:23" s="334" customFormat="1" ht="27.75" customHeight="1" x14ac:dyDescent="0.2">
      <c r="A144" s="452"/>
      <c r="B144" s="451">
        <v>2</v>
      </c>
      <c r="C144" s="1186"/>
      <c r="D144" s="1244"/>
      <c r="E144" s="465"/>
      <c r="F144" s="580"/>
      <c r="G144" s="1002"/>
      <c r="H144" s="1003"/>
      <c r="I144" s="465"/>
      <c r="J144" s="580"/>
      <c r="K144" s="1002"/>
      <c r="L144" s="1003"/>
      <c r="M144" s="465"/>
      <c r="N144" s="580"/>
      <c r="O144" s="1002"/>
      <c r="P144" s="1003"/>
      <c r="Q144" s="523"/>
      <c r="R144" s="523"/>
      <c r="S144" s="523"/>
      <c r="T144" s="379"/>
    </row>
    <row r="145" spans="1:23" s="334" customFormat="1" ht="27.75" customHeight="1" x14ac:dyDescent="0.2">
      <c r="A145" s="481"/>
      <c r="B145" s="496"/>
      <c r="C145" s="1182"/>
      <c r="D145" s="1265"/>
      <c r="E145" s="469"/>
      <c r="F145" s="665"/>
      <c r="G145" s="1070"/>
      <c r="H145" s="1075"/>
      <c r="I145" s="469"/>
      <c r="J145" s="665"/>
      <c r="K145" s="1070"/>
      <c r="L145" s="1075"/>
      <c r="M145" s="469"/>
      <c r="N145" s="665"/>
      <c r="O145" s="1070"/>
      <c r="P145" s="1075"/>
      <c r="Q145" s="523"/>
      <c r="R145" s="523"/>
      <c r="S145" s="523"/>
      <c r="T145" s="379"/>
    </row>
    <row r="146" spans="1:23" s="524" customFormat="1" ht="27.75" customHeight="1" x14ac:dyDescent="0.2">
      <c r="A146" s="517"/>
      <c r="B146" s="522"/>
      <c r="C146" s="1249" t="s">
        <v>611</v>
      </c>
      <c r="D146" s="1250"/>
      <c r="E146" s="512" t="s">
        <v>462</v>
      </c>
      <c r="F146" s="511" t="s">
        <v>462</v>
      </c>
      <c r="G146" s="1008">
        <f>SUMIFS(Титульный!$E$13:$E$157,Титульный!$A$13:$A$157,'Расходы КФО 2'!$Q146,Титульный!$B$13:$B$157,'Расходы КФО 2'!$R146,Титульный!$D$13:$D$157,'Расходы КФО 2'!$S146)</f>
        <v>0</v>
      </c>
      <c r="H146" s="1009">
        <f>SUMIFS(Титульный!$E$13:$E$157,Титульный!$A$13:$A$157,'Расходы КФО 2'!$Q146,Титульный!$B$13:$B$157,'Расходы КФО 2'!$R146,Титульный!$D$13:$D$157,'Расходы КФО 2'!$S146)</f>
        <v>0</v>
      </c>
      <c r="I146" s="512" t="s">
        <v>462</v>
      </c>
      <c r="J146" s="511" t="s">
        <v>462</v>
      </c>
      <c r="K146" s="1008">
        <f>SUMIFS(Титульный!$F$13:$F$157,
Титульный!$A$13:$A$157,'Расходы КФО 2'!$Q146,
Титульный!$B$13:$B$157,'Расходы КФО 2'!$R146,
Титульный!$D$13:$D$157,'Расходы КФО 2'!$S146)</f>
        <v>0</v>
      </c>
      <c r="L146" s="1009">
        <f>SUMIFS(Титульный!$F$13:$F$157,
Титульный!$A$13:$A$157,'Расходы КФО 2'!$Q146,
Титульный!$B$13:$B$157,'Расходы КФО 2'!$R146,
Титульный!$D$13:$D$157,'Расходы КФО 2'!$S146)</f>
        <v>0</v>
      </c>
      <c r="M146" s="512" t="s">
        <v>462</v>
      </c>
      <c r="N146" s="511" t="s">
        <v>462</v>
      </c>
      <c r="O146" s="1008">
        <f>SUMIFS(Титульный!$G$13:$G$157,
Титульный!$A$13:$A$157,'Расходы КФО 2'!$Q146,
Титульный!$B$13:$B$157,'Расходы КФО 2'!$R146,
Титульный!$D$13:$D$157,'Расходы КФО 2'!$S146)</f>
        <v>0</v>
      </c>
      <c r="P146" s="1009">
        <f>SUMIFS(Титульный!$G$13:$G$157,
Титульный!$A$13:$A$157,'Расходы КФО 2'!$Q146,
Титульный!$B$13:$B$157,'Расходы КФО 2'!$R146,
Титульный!$D$13:$D$157,'Расходы КФО 2'!$S146)</f>
        <v>0</v>
      </c>
      <c r="Q146" s="523">
        <v>2</v>
      </c>
      <c r="R146" s="523">
        <v>244</v>
      </c>
      <c r="S146" s="523">
        <v>228</v>
      </c>
      <c r="T146" s="523"/>
    </row>
    <row r="147" spans="1:23" s="331" customFormat="1" ht="12" customHeight="1" x14ac:dyDescent="0.2">
      <c r="B147" s="506"/>
      <c r="P147" s="362"/>
      <c r="Q147" s="531"/>
      <c r="R147" s="531"/>
      <c r="S147" s="531"/>
      <c r="T147" s="376"/>
    </row>
    <row r="148" spans="1:23" s="374" customFormat="1" ht="12" customHeight="1" x14ac:dyDescent="0.2">
      <c r="B148" s="506"/>
      <c r="Q148" s="531"/>
      <c r="R148" s="531"/>
      <c r="S148" s="531"/>
      <c r="T148" s="376"/>
    </row>
    <row r="149" spans="1:23" s="374" customFormat="1" ht="12" customHeight="1" x14ac:dyDescent="0.2">
      <c r="B149" s="506"/>
      <c r="Q149" s="531"/>
      <c r="R149" s="531"/>
      <c r="S149" s="531"/>
      <c r="T149" s="376"/>
    </row>
    <row r="150" spans="1:23" s="449" customFormat="1" ht="27.75" customHeight="1" x14ac:dyDescent="0.2">
      <c r="A150" s="989" t="s">
        <v>642</v>
      </c>
      <c r="B150" s="989"/>
      <c r="C150" s="989"/>
      <c r="D150" s="989"/>
      <c r="E150" s="989"/>
      <c r="F150" s="989"/>
      <c r="G150" s="989"/>
      <c r="H150" s="989"/>
      <c r="I150" s="989"/>
      <c r="J150" s="989"/>
      <c r="K150" s="989"/>
      <c r="L150" s="989"/>
      <c r="M150" s="989"/>
      <c r="N150" s="989"/>
      <c r="O150" s="989"/>
      <c r="P150" s="989"/>
      <c r="Q150" s="523"/>
      <c r="R150" s="523"/>
      <c r="S150" s="523"/>
      <c r="T150" s="448"/>
    </row>
    <row r="151" spans="1:23" s="331" customFormat="1" ht="12" customHeight="1" x14ac:dyDescent="0.2">
      <c r="B151" s="506"/>
      <c r="P151" s="362"/>
      <c r="Q151" s="531"/>
      <c r="R151" s="531"/>
      <c r="S151" s="531"/>
      <c r="T151" s="376"/>
    </row>
    <row r="152" spans="1:23" s="331" customFormat="1" ht="33" customHeight="1" x14ac:dyDescent="0.2">
      <c r="A152" s="1034" t="s">
        <v>598</v>
      </c>
      <c r="B152" s="1000" t="s">
        <v>484</v>
      </c>
      <c r="C152" s="1208" t="s">
        <v>610</v>
      </c>
      <c r="D152" s="1064"/>
      <c r="E152" s="1138" t="s">
        <v>831</v>
      </c>
      <c r="F152" s="1139"/>
      <c r="G152" s="1139"/>
      <c r="H152" s="1140"/>
      <c r="I152" s="1179" t="s">
        <v>825</v>
      </c>
      <c r="J152" s="1180"/>
      <c r="K152" s="1180"/>
      <c r="L152" s="1181"/>
      <c r="M152" s="1190" t="s">
        <v>823</v>
      </c>
      <c r="N152" s="1180"/>
      <c r="O152" s="1180"/>
      <c r="P152" s="1181"/>
      <c r="Q152" s="531"/>
      <c r="R152" s="531"/>
      <c r="S152" s="531"/>
      <c r="T152" s="376"/>
    </row>
    <row r="153" spans="1:23" s="331" customFormat="1" ht="38.25" x14ac:dyDescent="0.2">
      <c r="A153" s="1035"/>
      <c r="B153" s="1036"/>
      <c r="C153" s="1214"/>
      <c r="D153" s="1066"/>
      <c r="E153" s="399" t="s">
        <v>797</v>
      </c>
      <c r="F153" s="401" t="s">
        <v>798</v>
      </c>
      <c r="G153" s="1241" t="s">
        <v>553</v>
      </c>
      <c r="H153" s="1204"/>
      <c r="I153" s="399" t="s">
        <v>797</v>
      </c>
      <c r="J153" s="401" t="s">
        <v>798</v>
      </c>
      <c r="K153" s="1241" t="s">
        <v>553</v>
      </c>
      <c r="L153" s="1204"/>
      <c r="M153" s="399" t="s">
        <v>797</v>
      </c>
      <c r="N153" s="401" t="s">
        <v>798</v>
      </c>
      <c r="O153" s="1241" t="s">
        <v>553</v>
      </c>
      <c r="P153" s="1204"/>
      <c r="Q153" s="531"/>
      <c r="R153" s="531"/>
      <c r="S153" s="531"/>
      <c r="T153" s="376"/>
      <c r="V153" s="362"/>
      <c r="W153" s="362"/>
    </row>
    <row r="154" spans="1:23" s="331" customFormat="1" x14ac:dyDescent="0.2">
      <c r="A154" s="387" t="s">
        <v>6</v>
      </c>
      <c r="B154" s="732" t="s">
        <v>7</v>
      </c>
      <c r="C154" s="1004" t="s">
        <v>8</v>
      </c>
      <c r="D154" s="1005"/>
      <c r="E154" s="419">
        <v>4</v>
      </c>
      <c r="F154" s="398">
        <v>5</v>
      </c>
      <c r="G154" s="1004" t="s">
        <v>784</v>
      </c>
      <c r="H154" s="1005"/>
      <c r="I154" s="419">
        <v>7</v>
      </c>
      <c r="J154" s="398">
        <v>8</v>
      </c>
      <c r="K154" s="1004" t="s">
        <v>785</v>
      </c>
      <c r="L154" s="1005"/>
      <c r="M154" s="419" t="s">
        <v>463</v>
      </c>
      <c r="N154" s="398" t="s">
        <v>468</v>
      </c>
      <c r="O154" s="1004" t="s">
        <v>556</v>
      </c>
      <c r="P154" s="1005"/>
      <c r="Q154" s="531"/>
      <c r="R154" s="531"/>
      <c r="S154" s="531"/>
      <c r="T154" s="376"/>
      <c r="V154" s="362"/>
      <c r="W154" s="362"/>
    </row>
    <row r="155" spans="1:23" s="334" customFormat="1" ht="27.75" customHeight="1" x14ac:dyDescent="0.2">
      <c r="A155" s="475">
        <v>244</v>
      </c>
      <c r="B155" s="476">
        <v>1</v>
      </c>
      <c r="C155" s="1167" t="s">
        <v>743</v>
      </c>
      <c r="D155" s="1240"/>
      <c r="E155" s="465"/>
      <c r="F155" s="580"/>
      <c r="G155" s="1147">
        <f>E155*F155</f>
        <v>0</v>
      </c>
      <c r="H155" s="1050"/>
      <c r="I155" s="465"/>
      <c r="J155" s="580"/>
      <c r="K155" s="1002">
        <f>I155*J155</f>
        <v>0</v>
      </c>
      <c r="L155" s="1003"/>
      <c r="M155" s="465"/>
      <c r="N155" s="580"/>
      <c r="O155" s="1002">
        <f>M155*N155</f>
        <v>0</v>
      </c>
      <c r="P155" s="1003"/>
      <c r="Q155" s="523"/>
      <c r="R155" s="523"/>
      <c r="S155" s="523"/>
      <c r="T155" s="379"/>
    </row>
    <row r="156" spans="1:23" s="334" customFormat="1" ht="27.75" customHeight="1" x14ac:dyDescent="0.2">
      <c r="A156" s="452">
        <v>244</v>
      </c>
      <c r="B156" s="451">
        <v>2</v>
      </c>
      <c r="C156" s="1167" t="s">
        <v>744</v>
      </c>
      <c r="D156" s="1240"/>
      <c r="E156" s="465"/>
      <c r="F156" s="580"/>
      <c r="G156" s="1238">
        <f t="shared" ref="G156:G162" si="12">E156*F156</f>
        <v>0</v>
      </c>
      <c r="H156" s="1239"/>
      <c r="I156" s="465"/>
      <c r="J156" s="580"/>
      <c r="K156" s="1238">
        <f t="shared" ref="K156:K162" si="13">I156*J156</f>
        <v>0</v>
      </c>
      <c r="L156" s="1239"/>
      <c r="M156" s="465"/>
      <c r="N156" s="580"/>
      <c r="O156" s="1238">
        <f t="shared" ref="O156:O162" si="14">M156*N156</f>
        <v>0</v>
      </c>
      <c r="P156" s="1239"/>
      <c r="Q156" s="523"/>
      <c r="R156" s="523"/>
      <c r="S156" s="523"/>
      <c r="T156" s="379"/>
    </row>
    <row r="157" spans="1:23" s="334" customFormat="1" ht="27.75" customHeight="1" x14ac:dyDescent="0.2">
      <c r="A157" s="452">
        <v>244</v>
      </c>
      <c r="B157" s="451">
        <v>3</v>
      </c>
      <c r="C157" s="1167" t="s">
        <v>745</v>
      </c>
      <c r="D157" s="1240"/>
      <c r="E157" s="465"/>
      <c r="F157" s="580"/>
      <c r="G157" s="1238">
        <f t="shared" si="12"/>
        <v>0</v>
      </c>
      <c r="H157" s="1239"/>
      <c r="I157" s="465"/>
      <c r="J157" s="580"/>
      <c r="K157" s="1238">
        <f t="shared" si="13"/>
        <v>0</v>
      </c>
      <c r="L157" s="1239"/>
      <c r="M157" s="465"/>
      <c r="N157" s="580"/>
      <c r="O157" s="1238">
        <f t="shared" si="14"/>
        <v>0</v>
      </c>
      <c r="P157" s="1239"/>
      <c r="Q157" s="523"/>
      <c r="R157" s="523"/>
      <c r="S157" s="523"/>
      <c r="T157" s="379"/>
    </row>
    <row r="158" spans="1:23" s="334" customFormat="1" ht="27.75" customHeight="1" x14ac:dyDescent="0.2">
      <c r="A158" s="452">
        <v>244</v>
      </c>
      <c r="B158" s="451">
        <v>4</v>
      </c>
      <c r="C158" s="1167" t="s">
        <v>746</v>
      </c>
      <c r="D158" s="1240"/>
      <c r="E158" s="465"/>
      <c r="F158" s="580"/>
      <c r="G158" s="1238">
        <f t="shared" si="12"/>
        <v>0</v>
      </c>
      <c r="H158" s="1239"/>
      <c r="I158" s="465"/>
      <c r="J158" s="580"/>
      <c r="K158" s="1238">
        <f t="shared" si="13"/>
        <v>0</v>
      </c>
      <c r="L158" s="1239"/>
      <c r="M158" s="465"/>
      <c r="N158" s="580"/>
      <c r="O158" s="1238">
        <f t="shared" si="14"/>
        <v>0</v>
      </c>
      <c r="P158" s="1239"/>
      <c r="Q158" s="523"/>
      <c r="R158" s="523"/>
      <c r="S158" s="523"/>
      <c r="T158" s="379"/>
    </row>
    <row r="159" spans="1:23" s="334" customFormat="1" ht="27.75" customHeight="1" x14ac:dyDescent="0.2">
      <c r="A159" s="452">
        <v>244</v>
      </c>
      <c r="B159" s="451">
        <v>5</v>
      </c>
      <c r="C159" s="1167" t="s">
        <v>747</v>
      </c>
      <c r="D159" s="1240"/>
      <c r="E159" s="465"/>
      <c r="F159" s="580"/>
      <c r="G159" s="1238">
        <f t="shared" si="12"/>
        <v>0</v>
      </c>
      <c r="H159" s="1239"/>
      <c r="I159" s="465"/>
      <c r="J159" s="580"/>
      <c r="K159" s="1238">
        <f t="shared" si="13"/>
        <v>0</v>
      </c>
      <c r="L159" s="1239"/>
      <c r="M159" s="465"/>
      <c r="N159" s="580"/>
      <c r="O159" s="1238">
        <f t="shared" si="14"/>
        <v>0</v>
      </c>
      <c r="P159" s="1239"/>
      <c r="Q159" s="523"/>
      <c r="R159" s="523"/>
      <c r="S159" s="523"/>
      <c r="T159" s="379"/>
    </row>
    <row r="160" spans="1:23" s="334" customFormat="1" ht="27.75" customHeight="1" x14ac:dyDescent="0.2">
      <c r="A160" s="452">
        <v>244</v>
      </c>
      <c r="B160" s="451">
        <v>6</v>
      </c>
      <c r="C160" s="1167" t="s">
        <v>748</v>
      </c>
      <c r="D160" s="1240"/>
      <c r="E160" s="465"/>
      <c r="F160" s="580"/>
      <c r="G160" s="1238">
        <f t="shared" si="12"/>
        <v>0</v>
      </c>
      <c r="H160" s="1239"/>
      <c r="I160" s="465"/>
      <c r="J160" s="580"/>
      <c r="K160" s="1238">
        <f t="shared" si="13"/>
        <v>0</v>
      </c>
      <c r="L160" s="1239"/>
      <c r="M160" s="465"/>
      <c r="N160" s="580"/>
      <c r="O160" s="1238">
        <f t="shared" si="14"/>
        <v>0</v>
      </c>
      <c r="P160" s="1239"/>
      <c r="Q160" s="523"/>
      <c r="R160" s="523"/>
      <c r="S160" s="523"/>
      <c r="T160" s="379"/>
    </row>
    <row r="161" spans="1:20" s="334" customFormat="1" ht="27.75" customHeight="1" x14ac:dyDescent="0.2">
      <c r="A161" s="452">
        <v>244</v>
      </c>
      <c r="B161" s="451">
        <v>7</v>
      </c>
      <c r="C161" s="1167" t="s">
        <v>749</v>
      </c>
      <c r="D161" s="1240"/>
      <c r="E161" s="465"/>
      <c r="F161" s="580"/>
      <c r="G161" s="1238">
        <f t="shared" si="12"/>
        <v>0</v>
      </c>
      <c r="H161" s="1239"/>
      <c r="I161" s="465"/>
      <c r="J161" s="580"/>
      <c r="K161" s="1238">
        <f t="shared" si="13"/>
        <v>0</v>
      </c>
      <c r="L161" s="1239"/>
      <c r="M161" s="465"/>
      <c r="N161" s="580"/>
      <c r="O161" s="1238">
        <f t="shared" si="14"/>
        <v>0</v>
      </c>
      <c r="P161" s="1239"/>
      <c r="Q161" s="523"/>
      <c r="R161" s="523"/>
      <c r="S161" s="523"/>
      <c r="T161" s="379"/>
    </row>
    <row r="162" spans="1:20" s="334" customFormat="1" ht="27.75" customHeight="1" x14ac:dyDescent="0.2">
      <c r="A162" s="452">
        <v>244</v>
      </c>
      <c r="B162" s="451">
        <v>8</v>
      </c>
      <c r="C162" s="1167" t="s">
        <v>750</v>
      </c>
      <c r="D162" s="1240"/>
      <c r="E162" s="465"/>
      <c r="F162" s="580"/>
      <c r="G162" s="1238">
        <f t="shared" si="12"/>
        <v>0</v>
      </c>
      <c r="H162" s="1239"/>
      <c r="I162" s="465"/>
      <c r="J162" s="580"/>
      <c r="K162" s="1238">
        <f t="shared" si="13"/>
        <v>0</v>
      </c>
      <c r="L162" s="1239"/>
      <c r="M162" s="465"/>
      <c r="N162" s="580"/>
      <c r="O162" s="1238">
        <f t="shared" si="14"/>
        <v>0</v>
      </c>
      <c r="P162" s="1239"/>
      <c r="Q162" s="523"/>
      <c r="R162" s="523"/>
      <c r="S162" s="523"/>
      <c r="T162" s="379"/>
    </row>
    <row r="163" spans="1:20" s="334" customFormat="1" ht="27.75" customHeight="1" x14ac:dyDescent="0.2">
      <c r="A163" s="493">
        <v>244</v>
      </c>
      <c r="B163" s="496">
        <v>9</v>
      </c>
      <c r="C163" s="1167" t="s">
        <v>751</v>
      </c>
      <c r="D163" s="1240"/>
      <c r="E163" s="465"/>
      <c r="F163" s="580"/>
      <c r="G163" s="1148">
        <f>G164-SUM(G155:H162)</f>
        <v>760000</v>
      </c>
      <c r="H163" s="1149"/>
      <c r="I163" s="465"/>
      <c r="J163" s="580"/>
      <c r="K163" s="1002">
        <f>K164-SUM(K155:L162)</f>
        <v>760000</v>
      </c>
      <c r="L163" s="1003"/>
      <c r="M163" s="465"/>
      <c r="N163" s="580"/>
      <c r="O163" s="1002">
        <f>O164-SUM(O155:P162)</f>
        <v>760000</v>
      </c>
      <c r="P163" s="1003"/>
      <c r="Q163" s="523"/>
      <c r="R163" s="523"/>
      <c r="S163" s="523"/>
      <c r="T163" s="379"/>
    </row>
    <row r="164" spans="1:20" s="524" customFormat="1" ht="27.75" customHeight="1" x14ac:dyDescent="0.2">
      <c r="A164" s="508"/>
      <c r="B164" s="515"/>
      <c r="C164" s="1249" t="s">
        <v>611</v>
      </c>
      <c r="D164" s="1250"/>
      <c r="E164" s="512" t="s">
        <v>462</v>
      </c>
      <c r="F164" s="511" t="s">
        <v>462</v>
      </c>
      <c r="G164" s="1008">
        <f>SUMIFS(Титульный!$E$13:$E$157,
Титульный!$A$13:$A$157,'Расходы КФО 2'!$Q164,
Титульный!$B$13:$B$157,'Расходы КФО 2'!$R164,
Титульный!$D$13:$D$157,'Расходы КФО 2'!$S164)</f>
        <v>760000</v>
      </c>
      <c r="H164" s="1009">
        <f>SUMIFS(Титульный!$E$13:$E$157,Титульный!$A$13:$A$157,'Расходы КФО 2'!$Q164,Титульный!$B$13:$B$157,'Расходы КФО 2'!$R164,Титульный!$D$13:$D$157,'Расходы КФО 2'!$S164)</f>
        <v>760000</v>
      </c>
      <c r="I164" s="512" t="s">
        <v>462</v>
      </c>
      <c r="J164" s="511" t="s">
        <v>462</v>
      </c>
      <c r="K164" s="1008">
        <f>SUMIFS(Титульный!$F$13:$F$157,
Титульный!$A$13:$A$157,'Расходы КФО 2'!$Q164,
Титульный!$B$13:$B$157,'Расходы КФО 2'!$R164,
Титульный!$D$13:$D$157,'Расходы КФО 2'!$S164)</f>
        <v>760000</v>
      </c>
      <c r="L164" s="1009">
        <f>SUMIFS(Титульный!$F$13:$F$157,
Титульный!$A$13:$A$157,'Расходы КФО 2'!$Q164,
Титульный!$B$13:$B$157,'Расходы КФО 2'!$R164,
Титульный!$D$13:$D$157,'Расходы КФО 2'!$S164)</f>
        <v>760000</v>
      </c>
      <c r="M164" s="512" t="s">
        <v>462</v>
      </c>
      <c r="N164" s="511" t="s">
        <v>462</v>
      </c>
      <c r="O164" s="1008">
        <f>SUMIFS(Титульный!$G$13:$G$157,
Титульный!$A$13:$A$157,'Расходы КФО 2'!$Q164,
Титульный!$B$13:$B$157,'Расходы КФО 2'!$R164,
Титульный!$D$13:$D$157,'Расходы КФО 2'!$S164)</f>
        <v>760000</v>
      </c>
      <c r="P164" s="1009">
        <f>SUMIFS(Титульный!$G$13:$G$157,
Титульный!$A$13:$A$157,'Расходы КФО 2'!$Q164,
Титульный!$B$13:$B$157,'Расходы КФО 2'!$R164,
Титульный!$D$13:$D$157,'Расходы КФО 2'!$S164)</f>
        <v>760000</v>
      </c>
      <c r="Q164" s="523">
        <v>2</v>
      </c>
      <c r="R164" s="523">
        <v>244</v>
      </c>
      <c r="S164" s="523">
        <v>310</v>
      </c>
      <c r="T164" s="523"/>
    </row>
    <row r="165" spans="1:20" s="331" customFormat="1" ht="12" customHeight="1" x14ac:dyDescent="0.2">
      <c r="B165" s="506"/>
      <c r="D165" s="362"/>
      <c r="E165" s="362"/>
      <c r="F165" s="362"/>
      <c r="G165" s="362"/>
      <c r="H165" s="362"/>
      <c r="I165" s="362"/>
      <c r="P165" s="362"/>
      <c r="Q165" s="531"/>
      <c r="R165" s="531"/>
      <c r="S165" s="531"/>
      <c r="T165" s="376"/>
    </row>
    <row r="166" spans="1:20" s="374" customFormat="1" ht="12" customHeight="1" x14ac:dyDescent="0.2">
      <c r="B166" s="506"/>
      <c r="Q166" s="531"/>
      <c r="R166" s="531"/>
      <c r="S166" s="531"/>
      <c r="T166" s="376"/>
    </row>
    <row r="167" spans="1:20" s="374" customFormat="1" ht="12" customHeight="1" x14ac:dyDescent="0.2">
      <c r="B167" s="506"/>
      <c r="Q167" s="531"/>
      <c r="R167" s="531"/>
      <c r="S167" s="531"/>
      <c r="T167" s="376"/>
    </row>
    <row r="168" spans="1:20" s="449" customFormat="1" ht="27.75" customHeight="1" x14ac:dyDescent="0.2">
      <c r="A168" s="989" t="s">
        <v>643</v>
      </c>
      <c r="B168" s="989"/>
      <c r="C168" s="989"/>
      <c r="D168" s="989"/>
      <c r="E168" s="989"/>
      <c r="F168" s="989"/>
      <c r="G168" s="989"/>
      <c r="H168" s="989"/>
      <c r="I168" s="989"/>
      <c r="J168" s="989"/>
      <c r="K168" s="989"/>
      <c r="L168" s="989"/>
      <c r="M168" s="989"/>
      <c r="N168" s="989"/>
      <c r="O168" s="989"/>
      <c r="P168" s="989"/>
      <c r="Q168" s="523"/>
      <c r="R168" s="523"/>
      <c r="S168" s="523"/>
      <c r="T168" s="448"/>
    </row>
    <row r="169" spans="1:20" s="331" customFormat="1" ht="12" customHeight="1" x14ac:dyDescent="0.2">
      <c r="B169" s="506"/>
      <c r="P169" s="362"/>
      <c r="Q169" s="531"/>
      <c r="R169" s="531"/>
      <c r="S169" s="531"/>
      <c r="T169" s="376"/>
    </row>
    <row r="170" spans="1:20" s="331" customFormat="1" ht="33" customHeight="1" x14ac:dyDescent="0.2">
      <c r="A170" s="1034" t="s">
        <v>598</v>
      </c>
      <c r="B170" s="1000" t="s">
        <v>484</v>
      </c>
      <c r="C170" s="1208" t="s">
        <v>0</v>
      </c>
      <c r="D170" s="1064" t="s">
        <v>229</v>
      </c>
      <c r="E170" s="1138" t="s">
        <v>831</v>
      </c>
      <c r="F170" s="1139"/>
      <c r="G170" s="1139"/>
      <c r="H170" s="1140"/>
      <c r="I170" s="1179" t="s">
        <v>825</v>
      </c>
      <c r="J170" s="1180"/>
      <c r="K170" s="1180"/>
      <c r="L170" s="1181"/>
      <c r="M170" s="1190" t="s">
        <v>823</v>
      </c>
      <c r="N170" s="1180"/>
      <c r="O170" s="1180"/>
      <c r="P170" s="1181"/>
      <c r="Q170" s="531"/>
      <c r="R170" s="531"/>
      <c r="S170" s="531"/>
      <c r="T170" s="376"/>
    </row>
    <row r="171" spans="1:20" s="331" customFormat="1" ht="25.5" x14ac:dyDescent="0.2">
      <c r="A171" s="1035"/>
      <c r="B171" s="1036"/>
      <c r="C171" s="1214"/>
      <c r="D171" s="1066"/>
      <c r="E171" s="399" t="s">
        <v>797</v>
      </c>
      <c r="F171" s="401" t="s">
        <v>644</v>
      </c>
      <c r="G171" s="1241" t="s">
        <v>553</v>
      </c>
      <c r="H171" s="1204"/>
      <c r="I171" s="399" t="s">
        <v>797</v>
      </c>
      <c r="J171" s="401" t="s">
        <v>644</v>
      </c>
      <c r="K171" s="1241" t="s">
        <v>553</v>
      </c>
      <c r="L171" s="1204"/>
      <c r="M171" s="399" t="s">
        <v>797</v>
      </c>
      <c r="N171" s="401" t="s">
        <v>644</v>
      </c>
      <c r="O171" s="1241" t="s">
        <v>553</v>
      </c>
      <c r="P171" s="1204"/>
      <c r="Q171" s="531"/>
      <c r="R171" s="531"/>
      <c r="S171" s="531"/>
      <c r="T171" s="376"/>
    </row>
    <row r="172" spans="1:20" s="331" customFormat="1" x14ac:dyDescent="0.2">
      <c r="A172" s="387" t="s">
        <v>6</v>
      </c>
      <c r="B172" s="714" t="s">
        <v>7</v>
      </c>
      <c r="C172" s="388" t="s">
        <v>8</v>
      </c>
      <c r="D172" s="390" t="s">
        <v>9</v>
      </c>
      <c r="E172" s="419">
        <v>4</v>
      </c>
      <c r="F172" s="398">
        <v>5</v>
      </c>
      <c r="G172" s="1004" t="s">
        <v>784</v>
      </c>
      <c r="H172" s="1005"/>
      <c r="I172" s="419">
        <v>7</v>
      </c>
      <c r="J172" s="398">
        <v>8</v>
      </c>
      <c r="K172" s="1004" t="s">
        <v>785</v>
      </c>
      <c r="L172" s="1005"/>
      <c r="M172" s="419" t="s">
        <v>463</v>
      </c>
      <c r="N172" s="398" t="s">
        <v>468</v>
      </c>
      <c r="O172" s="1004" t="s">
        <v>556</v>
      </c>
      <c r="P172" s="1005"/>
      <c r="Q172" s="531"/>
      <c r="R172" s="531"/>
      <c r="S172" s="531"/>
      <c r="T172" s="376"/>
    </row>
    <row r="173" spans="1:20" s="334" customFormat="1" ht="29.45" customHeight="1" x14ac:dyDescent="0.2">
      <c r="A173" s="475">
        <v>244</v>
      </c>
      <c r="B173" s="504">
        <v>1</v>
      </c>
      <c r="C173" s="525" t="s">
        <v>752</v>
      </c>
      <c r="D173" s="478" t="s">
        <v>783</v>
      </c>
      <c r="E173" s="465">
        <f>ROUNDUP(G173/300,0)</f>
        <v>2</v>
      </c>
      <c r="F173" s="580">
        <f>IFERROR(ROUND(G173/E173,2),0)</f>
        <v>250</v>
      </c>
      <c r="G173" s="1147">
        <f>SUMIFS(Титульный!$E$13:$E$157,Титульный!$A$13:$A$157,'Расходы КФО 2'!$Q173,Титульный!$B$13:$B$157,'Расходы КФО 2'!$R173,Титульный!$D$13:$D$157,'Расходы КФО 2'!$S173)</f>
        <v>500</v>
      </c>
      <c r="H173" s="1050"/>
      <c r="I173" s="465">
        <f>ROUNDUP(K173/300,0)</f>
        <v>2</v>
      </c>
      <c r="J173" s="580">
        <f>IFERROR(ROUND(K173/I173,2),0)</f>
        <v>250</v>
      </c>
      <c r="K173" s="1147">
        <f>SUMIFS(Титульный!$F$13:$F$157,
Титульный!$A$13:$A$157,'Расходы КФО 2'!$Q173,
Титульный!$B$13:$B$157,'Расходы КФО 2'!$R173,
Титульный!$D$13:$D$157,'Расходы КФО 2'!$S173)</f>
        <v>500</v>
      </c>
      <c r="L173" s="1050"/>
      <c r="M173" s="465">
        <f>ROUNDUP(O173/300,0)</f>
        <v>2</v>
      </c>
      <c r="N173" s="580">
        <f>IFERROR(ROUND(O173/M173,2),0)</f>
        <v>250</v>
      </c>
      <c r="O173" s="1147">
        <f>SUMIFS(Титульный!$G$13:$G$157,
Титульный!$A$13:$A$157,'Расходы КФО 2'!$Q173,
Титульный!$B$13:$B$157,'Расходы КФО 2'!$R173,
Титульный!$D$13:$D$157,'Расходы КФО 2'!$S173)</f>
        <v>500</v>
      </c>
      <c r="P173" s="1050"/>
      <c r="Q173" s="523">
        <v>2</v>
      </c>
      <c r="R173" s="523">
        <v>244</v>
      </c>
      <c r="S173" s="523">
        <v>341</v>
      </c>
      <c r="T173" s="379"/>
    </row>
    <row r="174" spans="1:20" s="334" customFormat="1" ht="27.75" customHeight="1" x14ac:dyDescent="0.2">
      <c r="A174" s="452">
        <v>244</v>
      </c>
      <c r="B174" s="450">
        <v>2</v>
      </c>
      <c r="C174" s="480" t="s">
        <v>753</v>
      </c>
      <c r="D174" s="453" t="s">
        <v>783</v>
      </c>
      <c r="E174" s="465">
        <f t="shared" ref="E174" si="15">ROUNDUP(G174/165,0)</f>
        <v>128</v>
      </c>
      <c r="F174" s="580">
        <f t="shared" ref="F174:F180" si="16">IFERROR(ROUND(G174/E174,2),0)</f>
        <v>164.06</v>
      </c>
      <c r="G174" s="1238">
        <f>SUMIFS(Титульный!$E$13:$E$157,Титульный!$A$13:$A$157,'Расходы КФО 2'!$Q174,Титульный!$B$13:$B$157,'Расходы КФО 2'!$R174,Титульный!$D$13:$D$157,'Расходы КФО 2'!$S174)</f>
        <v>21000</v>
      </c>
      <c r="H174" s="1239"/>
      <c r="I174" s="465">
        <f t="shared" ref="I174" si="17">ROUNDUP(K174/165,0)</f>
        <v>128</v>
      </c>
      <c r="J174" s="580">
        <f t="shared" ref="J174:J180" si="18">IFERROR(ROUND(K174/I174,2),0)</f>
        <v>164.06</v>
      </c>
      <c r="K174" s="1238">
        <f>SUMIFS(Титульный!$F$13:$F$157,
Титульный!$A$13:$A$157,'Расходы КФО 2'!$Q174,
Титульный!$B$13:$B$157,'Расходы КФО 2'!$R174,
Титульный!$D$13:$D$157,'Расходы КФО 2'!$S174)</f>
        <v>21000</v>
      </c>
      <c r="L174" s="1239"/>
      <c r="M174" s="465">
        <f t="shared" ref="M174" si="19">ROUNDUP(O174/165,0)</f>
        <v>128</v>
      </c>
      <c r="N174" s="580">
        <f t="shared" ref="N174:N180" si="20">IFERROR(ROUND(O174/M174,2),0)</f>
        <v>164.06</v>
      </c>
      <c r="O174" s="1238">
        <f>SUMIFS(Титульный!$G$13:$G$157,
Титульный!$A$13:$A$157,'Расходы КФО 2'!$Q174,
Титульный!$B$13:$B$157,'Расходы КФО 2'!$R174,
Титульный!$D$13:$D$157,'Расходы КФО 2'!$S174)</f>
        <v>21000</v>
      </c>
      <c r="P174" s="1239"/>
      <c r="Q174" s="523">
        <v>2</v>
      </c>
      <c r="R174" s="523">
        <v>244</v>
      </c>
      <c r="S174" s="523">
        <v>342</v>
      </c>
      <c r="T174" s="379"/>
    </row>
    <row r="175" spans="1:20" s="334" customFormat="1" ht="27.75" customHeight="1" x14ac:dyDescent="0.2">
      <c r="A175" s="452">
        <v>244</v>
      </c>
      <c r="B175" s="450">
        <v>3</v>
      </c>
      <c r="C175" s="480" t="s">
        <v>274</v>
      </c>
      <c r="D175" s="453" t="s">
        <v>792</v>
      </c>
      <c r="E175" s="465">
        <f>ROUNDUP(G175/50,0)</f>
        <v>40</v>
      </c>
      <c r="F175" s="580">
        <f t="shared" si="16"/>
        <v>50</v>
      </c>
      <c r="G175" s="1238">
        <f>SUMIFS(Титульный!$E$13:$E$157,Титульный!$A$13:$A$157,'Расходы КФО 2'!$Q175,Титульный!$B$13:$B$157,'Расходы КФО 2'!$R175,Титульный!$D$13:$D$157,'Расходы КФО 2'!$S175)</f>
        <v>2000</v>
      </c>
      <c r="H175" s="1239"/>
      <c r="I175" s="465">
        <f>ROUNDUP(K175/50,0)</f>
        <v>40</v>
      </c>
      <c r="J175" s="580">
        <f t="shared" si="18"/>
        <v>50</v>
      </c>
      <c r="K175" s="1238">
        <f>SUMIFS(Титульный!$F$13:$F$157,
Титульный!$A$13:$A$157,'Расходы КФО 2'!$Q175,
Титульный!$B$13:$B$157,'Расходы КФО 2'!$R175,
Титульный!$D$13:$D$157,'Расходы КФО 2'!$S175)</f>
        <v>2000</v>
      </c>
      <c r="L175" s="1239"/>
      <c r="M175" s="465">
        <f>ROUNDUP(O175/50,0)</f>
        <v>40</v>
      </c>
      <c r="N175" s="580">
        <f t="shared" si="20"/>
        <v>50</v>
      </c>
      <c r="O175" s="1238">
        <f>SUMIFS(Титульный!$G$13:$G$157,
Титульный!$A$13:$A$157,'Расходы КФО 2'!$Q175,
Титульный!$B$13:$B$157,'Расходы КФО 2'!$R175,
Титульный!$D$13:$D$157,'Расходы КФО 2'!$S175)</f>
        <v>2000</v>
      </c>
      <c r="P175" s="1239"/>
      <c r="Q175" s="523">
        <v>2</v>
      </c>
      <c r="R175" s="523">
        <v>244</v>
      </c>
      <c r="S175" s="523">
        <v>343</v>
      </c>
      <c r="T175" s="379"/>
    </row>
    <row r="176" spans="1:20" s="334" customFormat="1" ht="27.75" customHeight="1" x14ac:dyDescent="0.2">
      <c r="A176" s="452">
        <v>244</v>
      </c>
      <c r="B176" s="450">
        <v>4</v>
      </c>
      <c r="C176" s="480" t="s">
        <v>275</v>
      </c>
      <c r="D176" s="453" t="s">
        <v>783</v>
      </c>
      <c r="E176" s="465">
        <f>ROUNDUP(G176/300,0)</f>
        <v>60</v>
      </c>
      <c r="F176" s="580">
        <f t="shared" si="16"/>
        <v>300</v>
      </c>
      <c r="G176" s="1238">
        <f>SUMIFS(Титульный!$E$13:$E$157,Титульный!$A$13:$A$157,'Расходы КФО 2'!$Q176,Титульный!$B$13:$B$157,'Расходы КФО 2'!$R176,Титульный!$D$13:$D$157,'Расходы КФО 2'!$S176)</f>
        <v>18000</v>
      </c>
      <c r="H176" s="1239"/>
      <c r="I176" s="465">
        <f>ROUNDUP(K176/300,0)</f>
        <v>60</v>
      </c>
      <c r="J176" s="580">
        <f t="shared" si="18"/>
        <v>300</v>
      </c>
      <c r="K176" s="1238">
        <f>SUMIFS(Титульный!$F$13:$F$157,
Титульный!$A$13:$A$157,'Расходы КФО 2'!$Q176,
Титульный!$B$13:$B$157,'Расходы КФО 2'!$R176,
Титульный!$D$13:$D$157,'Расходы КФО 2'!$S176)</f>
        <v>18000</v>
      </c>
      <c r="L176" s="1239"/>
      <c r="M176" s="465">
        <f>ROUNDUP(O176/300,0)</f>
        <v>60</v>
      </c>
      <c r="N176" s="580">
        <f t="shared" si="20"/>
        <v>300</v>
      </c>
      <c r="O176" s="1238">
        <f>SUMIFS(Титульный!$G$13:$G$157,
Титульный!$A$13:$A$157,'Расходы КФО 2'!$Q176,
Титульный!$B$13:$B$157,'Расходы КФО 2'!$R176,
Титульный!$D$13:$D$157,'Расходы КФО 2'!$S176)</f>
        <v>18000</v>
      </c>
      <c r="P176" s="1239"/>
      <c r="Q176" s="523">
        <v>2</v>
      </c>
      <c r="R176" s="523">
        <v>244</v>
      </c>
      <c r="S176" s="523">
        <v>344</v>
      </c>
      <c r="T176" s="379"/>
    </row>
    <row r="177" spans="1:20" s="334" customFormat="1" ht="31.9" customHeight="1" x14ac:dyDescent="0.2">
      <c r="A177" s="452">
        <v>244</v>
      </c>
      <c r="B177" s="450">
        <v>5</v>
      </c>
      <c r="C177" s="480" t="s">
        <v>810</v>
      </c>
      <c r="D177" s="453" t="s">
        <v>783</v>
      </c>
      <c r="E177" s="465">
        <f>ROUNDUP(G177/600,0)</f>
        <v>0</v>
      </c>
      <c r="F177" s="580">
        <f t="shared" si="16"/>
        <v>0</v>
      </c>
      <c r="G177" s="1238">
        <f>SUMIFS(Титульный!$E$13:$E$157,Титульный!$A$13:$A$157,'Расходы КФО 2'!$Q177,Титульный!$B$13:$B$157,'Расходы КФО 2'!$R177,Титульный!$D$13:$D$157,'Расходы КФО 2'!$S177)</f>
        <v>0</v>
      </c>
      <c r="H177" s="1239"/>
      <c r="I177" s="465">
        <f>ROUNDUP(K177/600,0)</f>
        <v>0</v>
      </c>
      <c r="J177" s="580">
        <f t="shared" si="18"/>
        <v>0</v>
      </c>
      <c r="K177" s="1238">
        <f>SUMIFS(Титульный!$F$13:$F$157,
Титульный!$A$13:$A$157,'Расходы КФО 2'!$Q177,
Титульный!$B$13:$B$157,'Расходы КФО 2'!$R177,
Титульный!$D$13:$D$157,'Расходы КФО 2'!$S177)</f>
        <v>0</v>
      </c>
      <c r="L177" s="1239"/>
      <c r="M177" s="465">
        <f>ROUNDUP(O177/600,0)</f>
        <v>0</v>
      </c>
      <c r="N177" s="580">
        <f t="shared" si="20"/>
        <v>0</v>
      </c>
      <c r="O177" s="1238">
        <f>SUMIFS(Титульный!$G$13:$G$157,
Титульный!$A$13:$A$157,'Расходы КФО 2'!$Q177,
Титульный!$B$13:$B$157,'Расходы КФО 2'!$R177,
Титульный!$D$13:$D$157,'Расходы КФО 2'!$S177)</f>
        <v>0</v>
      </c>
      <c r="P177" s="1239"/>
      <c r="Q177" s="523">
        <v>2</v>
      </c>
      <c r="R177" s="523">
        <v>244</v>
      </c>
      <c r="S177" s="523">
        <v>345</v>
      </c>
      <c r="T177" s="379"/>
    </row>
    <row r="178" spans="1:20" s="334" customFormat="1" ht="27.75" customHeight="1" x14ac:dyDescent="0.2">
      <c r="A178" s="452">
        <v>244</v>
      </c>
      <c r="B178" s="450">
        <v>6</v>
      </c>
      <c r="C178" s="480" t="s">
        <v>755</v>
      </c>
      <c r="D178" s="453" t="s">
        <v>783</v>
      </c>
      <c r="E178" s="465">
        <f>ROUNDUP(G178/110,0)</f>
        <v>510</v>
      </c>
      <c r="F178" s="580">
        <f t="shared" si="16"/>
        <v>109.8</v>
      </c>
      <c r="G178" s="1238">
        <f>SUMIFS(Титульный!$E$13:$E$157,Титульный!$A$13:$A$157,'Расходы КФО 2'!$Q178,Титульный!$B$13:$B$157,'Расходы КФО 2'!$R178,Титульный!$D$13:$D$157,'Расходы КФО 2'!$S178)</f>
        <v>56000</v>
      </c>
      <c r="H178" s="1239"/>
      <c r="I178" s="465">
        <f>ROUNDUP(K178/110,0)</f>
        <v>510</v>
      </c>
      <c r="J178" s="580">
        <f t="shared" si="18"/>
        <v>109.8</v>
      </c>
      <c r="K178" s="1238">
        <f>SUMIFS(Титульный!$F$13:$F$157,
Титульный!$A$13:$A$157,'Расходы КФО 2'!$Q178,
Титульный!$B$13:$B$157,'Расходы КФО 2'!$R178,
Титульный!$D$13:$D$157,'Расходы КФО 2'!$S178)</f>
        <v>56000</v>
      </c>
      <c r="L178" s="1239"/>
      <c r="M178" s="465">
        <f>ROUNDUP(O178/110,0)</f>
        <v>510</v>
      </c>
      <c r="N178" s="580">
        <f t="shared" si="20"/>
        <v>109.8</v>
      </c>
      <c r="O178" s="1238">
        <f>SUMIFS(Титульный!$G$13:$G$157,
Титульный!$A$13:$A$157,'Расходы КФО 2'!$Q178,
Титульный!$B$13:$B$157,'Расходы КФО 2'!$R178,
Титульный!$D$13:$D$157,'Расходы КФО 2'!$S178)</f>
        <v>56000</v>
      </c>
      <c r="P178" s="1239"/>
      <c r="Q178" s="523">
        <v>2</v>
      </c>
      <c r="R178" s="523">
        <v>244</v>
      </c>
      <c r="S178" s="523">
        <v>346</v>
      </c>
      <c r="T178" s="379"/>
    </row>
    <row r="179" spans="1:20" s="334" customFormat="1" ht="27.75" customHeight="1" x14ac:dyDescent="0.2">
      <c r="A179" s="452">
        <v>244</v>
      </c>
      <c r="B179" s="450">
        <v>7</v>
      </c>
      <c r="C179" s="480" t="s">
        <v>278</v>
      </c>
      <c r="D179" s="453" t="s">
        <v>783</v>
      </c>
      <c r="E179" s="465">
        <f>ROUNDUP(G179/2000,0)</f>
        <v>0</v>
      </c>
      <c r="F179" s="580">
        <f t="shared" si="16"/>
        <v>0</v>
      </c>
      <c r="G179" s="1238">
        <f>SUMIFS(Титульный!$E$13:$E$157,Титульный!$A$13:$A$157,'Расходы КФО 2'!$Q179,Титульный!$B$13:$B$157,'Расходы КФО 2'!$R179,Титульный!$D$13:$D$157,'Расходы КФО 2'!$S179)</f>
        <v>0</v>
      </c>
      <c r="H179" s="1239"/>
      <c r="I179" s="465">
        <f>ROUNDUP(K179/2000,0)</f>
        <v>0</v>
      </c>
      <c r="J179" s="580">
        <f t="shared" si="18"/>
        <v>0</v>
      </c>
      <c r="K179" s="1238">
        <f>SUMIFS(Титульный!$F$13:$F$157,
Титульный!$A$13:$A$157,'Расходы КФО 2'!$Q179,
Титульный!$B$13:$B$157,'Расходы КФО 2'!$R179,
Титульный!$D$13:$D$157,'Расходы КФО 2'!$S179)</f>
        <v>0</v>
      </c>
      <c r="L179" s="1239"/>
      <c r="M179" s="465">
        <f>ROUNDUP(O179/2000,0)</f>
        <v>0</v>
      </c>
      <c r="N179" s="580">
        <f t="shared" si="20"/>
        <v>0</v>
      </c>
      <c r="O179" s="1238">
        <f>SUMIFS(Титульный!$G$13:$G$157,
Титульный!$A$13:$A$157,'Расходы КФО 2'!$Q179,
Титульный!$B$13:$B$157,'Расходы КФО 2'!$R179,
Титульный!$D$13:$D$157,'Расходы КФО 2'!$S179)</f>
        <v>0</v>
      </c>
      <c r="P179" s="1239"/>
      <c r="Q179" s="523">
        <v>2</v>
      </c>
      <c r="R179" s="523">
        <v>244</v>
      </c>
      <c r="S179" s="523">
        <v>347</v>
      </c>
      <c r="T179" s="379"/>
    </row>
    <row r="180" spans="1:20" s="334" customFormat="1" ht="27.75" customHeight="1" x14ac:dyDescent="0.2">
      <c r="A180" s="452">
        <v>244</v>
      </c>
      <c r="B180" s="450">
        <v>8</v>
      </c>
      <c r="C180" s="480" t="s">
        <v>279</v>
      </c>
      <c r="D180" s="453" t="s">
        <v>783</v>
      </c>
      <c r="E180" s="465">
        <f>ROUNDUP(G180/150,0)</f>
        <v>767</v>
      </c>
      <c r="F180" s="580">
        <f t="shared" si="16"/>
        <v>149.93</v>
      </c>
      <c r="G180" s="1238">
        <f>SUMIFS(Титульный!$E$13:$E$157,Титульный!$A$13:$A$157,'Расходы КФО 2'!$Q180,Титульный!$B$13:$B$157,'Расходы КФО 2'!$R180,Титульный!$D$13:$D$157,'Расходы КФО 2'!$S180)</f>
        <v>115000</v>
      </c>
      <c r="H180" s="1239"/>
      <c r="I180" s="465">
        <f>ROUNDUP(K180/150,0)</f>
        <v>767</v>
      </c>
      <c r="J180" s="580">
        <f t="shared" si="18"/>
        <v>149.93</v>
      </c>
      <c r="K180" s="1238">
        <f>SUMIFS(Титульный!$F$13:$F$157,
Титульный!$A$13:$A$157,'Расходы КФО 2'!$Q180,
Титульный!$B$13:$B$157,'Расходы КФО 2'!$R180,
Титульный!$D$13:$D$157,'Расходы КФО 2'!$S180)</f>
        <v>115000</v>
      </c>
      <c r="L180" s="1239"/>
      <c r="M180" s="465">
        <f>ROUNDUP(O180/150,0)</f>
        <v>767</v>
      </c>
      <c r="N180" s="580">
        <f t="shared" si="20"/>
        <v>149.93</v>
      </c>
      <c r="O180" s="1238">
        <f>SUMIFS(Титульный!$G$13:$G$157,
Титульный!$A$13:$A$157,'Расходы КФО 2'!$Q180,
Титульный!$B$13:$B$157,'Расходы КФО 2'!$R180,
Титульный!$D$13:$D$157,'Расходы КФО 2'!$S180)</f>
        <v>115000</v>
      </c>
      <c r="P180" s="1239"/>
      <c r="Q180" s="523">
        <v>2</v>
      </c>
      <c r="R180" s="523">
        <v>244</v>
      </c>
      <c r="S180" s="523">
        <v>349</v>
      </c>
      <c r="T180" s="379"/>
    </row>
    <row r="181" spans="1:20" s="334" customFormat="1" ht="27.75" hidden="1" customHeight="1" x14ac:dyDescent="0.2">
      <c r="A181" s="425">
        <v>244</v>
      </c>
      <c r="B181" s="450">
        <v>9</v>
      </c>
      <c r="C181" s="480"/>
      <c r="D181" s="453"/>
      <c r="E181" s="465"/>
      <c r="F181" s="580"/>
      <c r="G181" s="1002"/>
      <c r="H181" s="1003"/>
      <c r="I181" s="465"/>
      <c r="J181" s="580"/>
      <c r="K181" s="1002"/>
      <c r="L181" s="1003"/>
      <c r="M181" s="465"/>
      <c r="N181" s="580"/>
      <c r="O181" s="1002"/>
      <c r="P181" s="1003"/>
      <c r="Q181" s="523"/>
      <c r="R181" s="523"/>
      <c r="S181" s="523"/>
      <c r="T181" s="379"/>
    </row>
    <row r="182" spans="1:20" s="334" customFormat="1" ht="27.75" hidden="1" customHeight="1" x14ac:dyDescent="0.2">
      <c r="A182" s="425">
        <v>244</v>
      </c>
      <c r="B182" s="450">
        <v>10</v>
      </c>
      <c r="C182" s="480"/>
      <c r="D182" s="453"/>
      <c r="E182" s="465"/>
      <c r="F182" s="580"/>
      <c r="G182" s="1002"/>
      <c r="H182" s="1003"/>
      <c r="I182" s="465"/>
      <c r="J182" s="580"/>
      <c r="K182" s="1002"/>
      <c r="L182" s="1003"/>
      <c r="M182" s="465"/>
      <c r="N182" s="580"/>
      <c r="O182" s="1002"/>
      <c r="P182" s="1003"/>
      <c r="Q182" s="523"/>
      <c r="R182" s="523"/>
      <c r="S182" s="523"/>
      <c r="T182" s="379"/>
    </row>
    <row r="183" spans="1:20" s="334" customFormat="1" ht="27.75" hidden="1" customHeight="1" x14ac:dyDescent="0.2">
      <c r="A183" s="425">
        <v>244</v>
      </c>
      <c r="B183" s="450">
        <v>11</v>
      </c>
      <c r="C183" s="480"/>
      <c r="D183" s="453"/>
      <c r="E183" s="465"/>
      <c r="F183" s="580"/>
      <c r="G183" s="1002"/>
      <c r="H183" s="1003"/>
      <c r="I183" s="465"/>
      <c r="J183" s="580"/>
      <c r="K183" s="1002"/>
      <c r="L183" s="1003"/>
      <c r="M183" s="465"/>
      <c r="N183" s="580"/>
      <c r="O183" s="1002"/>
      <c r="P183" s="1003"/>
      <c r="Q183" s="523"/>
      <c r="R183" s="523"/>
      <c r="S183" s="523"/>
      <c r="T183" s="379"/>
    </row>
    <row r="184" spans="1:20" s="334" customFormat="1" ht="27.75" hidden="1" customHeight="1" x14ac:dyDescent="0.2">
      <c r="A184" s="425">
        <v>244</v>
      </c>
      <c r="B184" s="450">
        <v>12</v>
      </c>
      <c r="C184" s="480"/>
      <c r="D184" s="453"/>
      <c r="E184" s="465"/>
      <c r="F184" s="580"/>
      <c r="G184" s="1002"/>
      <c r="H184" s="1003"/>
      <c r="I184" s="465"/>
      <c r="J184" s="580"/>
      <c r="K184" s="1002"/>
      <c r="L184" s="1003"/>
      <c r="M184" s="465"/>
      <c r="N184" s="580"/>
      <c r="O184" s="1002"/>
      <c r="P184" s="1003"/>
      <c r="Q184" s="523"/>
      <c r="R184" s="523"/>
      <c r="S184" s="523"/>
      <c r="T184" s="379"/>
    </row>
    <row r="185" spans="1:20" s="334" customFormat="1" ht="27.75" hidden="1" customHeight="1" x14ac:dyDescent="0.2">
      <c r="A185" s="425">
        <v>244</v>
      </c>
      <c r="B185" s="450">
        <v>13</v>
      </c>
      <c r="C185" s="480"/>
      <c r="D185" s="453"/>
      <c r="E185" s="465"/>
      <c r="F185" s="580"/>
      <c r="G185" s="1002"/>
      <c r="H185" s="1003"/>
      <c r="I185" s="465"/>
      <c r="J185" s="580"/>
      <c r="K185" s="1002"/>
      <c r="L185" s="1003"/>
      <c r="M185" s="465"/>
      <c r="N185" s="580"/>
      <c r="O185" s="1002"/>
      <c r="P185" s="1003"/>
      <c r="Q185" s="523"/>
      <c r="R185" s="523"/>
      <c r="S185" s="523"/>
      <c r="T185" s="379"/>
    </row>
    <row r="186" spans="1:20" s="334" customFormat="1" ht="27.75" hidden="1" customHeight="1" x14ac:dyDescent="0.2">
      <c r="A186" s="425">
        <v>244</v>
      </c>
      <c r="B186" s="450">
        <v>14</v>
      </c>
      <c r="C186" s="480"/>
      <c r="D186" s="453"/>
      <c r="E186" s="465"/>
      <c r="F186" s="580"/>
      <c r="G186" s="1002"/>
      <c r="H186" s="1003"/>
      <c r="I186" s="465"/>
      <c r="J186" s="580"/>
      <c r="K186" s="1002"/>
      <c r="L186" s="1003"/>
      <c r="M186" s="465"/>
      <c r="N186" s="580"/>
      <c r="O186" s="1002"/>
      <c r="P186" s="1003"/>
      <c r="Q186" s="523"/>
      <c r="R186" s="523"/>
      <c r="S186" s="523"/>
      <c r="T186" s="379"/>
    </row>
    <row r="187" spans="1:20" s="334" customFormat="1" ht="27.75" hidden="1" customHeight="1" x14ac:dyDescent="0.2">
      <c r="A187" s="425">
        <v>244</v>
      </c>
      <c r="B187" s="450">
        <v>15</v>
      </c>
      <c r="C187" s="480"/>
      <c r="D187" s="453"/>
      <c r="E187" s="465"/>
      <c r="F187" s="580"/>
      <c r="G187" s="1002"/>
      <c r="H187" s="1003"/>
      <c r="I187" s="465"/>
      <c r="J187" s="580"/>
      <c r="K187" s="1002"/>
      <c r="L187" s="1003"/>
      <c r="M187" s="465"/>
      <c r="N187" s="580"/>
      <c r="O187" s="1002"/>
      <c r="P187" s="1003"/>
      <c r="Q187" s="523"/>
      <c r="R187" s="523"/>
      <c r="S187" s="523"/>
      <c r="T187" s="379"/>
    </row>
    <row r="188" spans="1:20" s="334" customFormat="1" ht="27.75" hidden="1" customHeight="1" x14ac:dyDescent="0.2">
      <c r="A188" s="425">
        <v>244</v>
      </c>
      <c r="B188" s="450">
        <v>16</v>
      </c>
      <c r="C188" s="480"/>
      <c r="D188" s="453"/>
      <c r="E188" s="465"/>
      <c r="F188" s="580"/>
      <c r="G188" s="1002"/>
      <c r="H188" s="1003"/>
      <c r="I188" s="465"/>
      <c r="J188" s="580"/>
      <c r="K188" s="1002"/>
      <c r="L188" s="1003"/>
      <c r="M188" s="465"/>
      <c r="N188" s="580"/>
      <c r="O188" s="1002"/>
      <c r="P188" s="1003"/>
      <c r="Q188" s="523"/>
      <c r="R188" s="523"/>
      <c r="S188" s="523"/>
      <c r="T188" s="379"/>
    </row>
    <row r="189" spans="1:20" s="334" customFormat="1" ht="27.75" hidden="1" customHeight="1" x14ac:dyDescent="0.2">
      <c r="A189" s="425">
        <v>244</v>
      </c>
      <c r="B189" s="450">
        <v>17</v>
      </c>
      <c r="C189" s="480"/>
      <c r="D189" s="453"/>
      <c r="E189" s="465"/>
      <c r="F189" s="580"/>
      <c r="G189" s="1002"/>
      <c r="H189" s="1003"/>
      <c r="I189" s="465"/>
      <c r="J189" s="580"/>
      <c r="K189" s="1002"/>
      <c r="L189" s="1003"/>
      <c r="M189" s="465"/>
      <c r="N189" s="580"/>
      <c r="O189" s="1002"/>
      <c r="P189" s="1003"/>
      <c r="Q189" s="523"/>
      <c r="R189" s="523"/>
      <c r="S189" s="523"/>
      <c r="T189" s="379"/>
    </row>
    <row r="190" spans="1:20" s="334" customFormat="1" ht="27.75" hidden="1" customHeight="1" x14ac:dyDescent="0.2">
      <c r="A190" s="417">
        <v>244</v>
      </c>
      <c r="B190" s="502">
        <v>18</v>
      </c>
      <c r="C190" s="526"/>
      <c r="D190" s="484"/>
      <c r="E190" s="465"/>
      <c r="F190" s="580"/>
      <c r="G190" s="1002"/>
      <c r="H190" s="1003"/>
      <c r="I190" s="465"/>
      <c r="J190" s="580"/>
      <c r="K190" s="1002"/>
      <c r="L190" s="1003"/>
      <c r="M190" s="465"/>
      <c r="N190" s="580"/>
      <c r="O190" s="1002"/>
      <c r="P190" s="1003"/>
      <c r="Q190" s="523"/>
      <c r="R190" s="523"/>
      <c r="S190" s="523"/>
      <c r="T190" s="379"/>
    </row>
    <row r="191" spans="1:20" s="524" customFormat="1" ht="27.75" customHeight="1" x14ac:dyDescent="0.2">
      <c r="A191" s="508"/>
      <c r="B191" s="509"/>
      <c r="C191" s="485" t="s">
        <v>611</v>
      </c>
      <c r="D191" s="516" t="s">
        <v>462</v>
      </c>
      <c r="E191" s="512" t="s">
        <v>462</v>
      </c>
      <c r="F191" s="511" t="s">
        <v>462</v>
      </c>
      <c r="G191" s="1008">
        <f>SUM(G173:H190)</f>
        <v>212500</v>
      </c>
      <c r="H191" s="1009">
        <f>SUMIFS(Титульный!$E$13:$E$157,Титульный!$A$13:$A$157,'Расходы КФО 2'!$Q191,Титульный!$B$13:$B$157,'Расходы КФО 2'!$R191,Титульный!$D$13:$D$157,'Расходы КФО 2'!$S191)</f>
        <v>0</v>
      </c>
      <c r="I191" s="512" t="s">
        <v>462</v>
      </c>
      <c r="J191" s="511" t="s">
        <v>462</v>
      </c>
      <c r="K191" s="1008">
        <f>SUM(K173:L190)</f>
        <v>212500</v>
      </c>
      <c r="L191" s="1009">
        <f>SUMIFS(Титульный!$E$13:$E$157,Титульный!$A$13:$A$157,'Расходы КФО 2'!$Q191,Титульный!$B$13:$B$157,'Расходы КФО 2'!$R191,Титульный!$D$13:$D$157,'Расходы КФО 2'!$S191)</f>
        <v>0</v>
      </c>
      <c r="M191" s="512" t="s">
        <v>462</v>
      </c>
      <c r="N191" s="511" t="s">
        <v>462</v>
      </c>
      <c r="O191" s="1008">
        <f>SUM(O173:P190)</f>
        <v>212500</v>
      </c>
      <c r="P191" s="1009">
        <f>SUMIFS(Титульный!$E$13:$E$157,Титульный!$A$13:$A$157,'Расходы КФО 2'!$Q191,Титульный!$B$13:$B$157,'Расходы КФО 2'!$R191,Титульный!$D$13:$D$157,'Расходы КФО 2'!$S191)</f>
        <v>0</v>
      </c>
      <c r="Q191" s="523"/>
      <c r="R191" s="523"/>
      <c r="S191" s="523"/>
      <c r="T191" s="523"/>
    </row>
    <row r="192" spans="1:20" s="331" customFormat="1" x14ac:dyDescent="0.2">
      <c r="B192" s="506"/>
      <c r="P192" s="362"/>
      <c r="Q192" s="531"/>
      <c r="R192" s="531"/>
      <c r="S192" s="531"/>
      <c r="T192" s="376"/>
    </row>
  </sheetData>
  <mergeCells count="539">
    <mergeCell ref="A126:P126"/>
    <mergeCell ref="A138:P138"/>
    <mergeCell ref="A150:P150"/>
    <mergeCell ref="A168:P168"/>
    <mergeCell ref="E140:H140"/>
    <mergeCell ref="M5:P5"/>
    <mergeCell ref="A19:A20"/>
    <mergeCell ref="B19:B20"/>
    <mergeCell ref="M19:P19"/>
    <mergeCell ref="O20:P20"/>
    <mergeCell ref="E19:H19"/>
    <mergeCell ref="G20:H20"/>
    <mergeCell ref="G33:H33"/>
    <mergeCell ref="A55:A56"/>
    <mergeCell ref="B55:B56"/>
    <mergeCell ref="A104:A105"/>
    <mergeCell ref="B104:B105"/>
    <mergeCell ref="C62:D62"/>
    <mergeCell ref="C63:D63"/>
    <mergeCell ref="C64:D64"/>
    <mergeCell ref="C65:D65"/>
    <mergeCell ref="A43:A44"/>
    <mergeCell ref="B43:B44"/>
    <mergeCell ref="A53:P53"/>
    <mergeCell ref="A1:P1"/>
    <mergeCell ref="A2:P2"/>
    <mergeCell ref="A3:P3"/>
    <mergeCell ref="A17:P17"/>
    <mergeCell ref="A29:A30"/>
    <mergeCell ref="B29:B30"/>
    <mergeCell ref="C29:C30"/>
    <mergeCell ref="D29:D30"/>
    <mergeCell ref="G30:H30"/>
    <mergeCell ref="K30:L30"/>
    <mergeCell ref="A5:A6"/>
    <mergeCell ref="B5:B6"/>
    <mergeCell ref="E5:H5"/>
    <mergeCell ref="I5:L5"/>
    <mergeCell ref="A27:P27"/>
    <mergeCell ref="C23:D23"/>
    <mergeCell ref="C19:D20"/>
    <mergeCell ref="C5:D6"/>
    <mergeCell ref="C7:D7"/>
    <mergeCell ref="C9:D9"/>
    <mergeCell ref="C10:D10"/>
    <mergeCell ref="C11:D11"/>
    <mergeCell ref="C12:D12"/>
    <mergeCell ref="C8:D8"/>
    <mergeCell ref="C107:D107"/>
    <mergeCell ref="C108:D108"/>
    <mergeCell ref="C109:D109"/>
    <mergeCell ref="C110:D110"/>
    <mergeCell ref="G122:H122"/>
    <mergeCell ref="K122:L122"/>
    <mergeCell ref="O122:P122"/>
    <mergeCell ref="K107:L107"/>
    <mergeCell ref="O107:P107"/>
    <mergeCell ref="G107:H107"/>
    <mergeCell ref="G108:H108"/>
    <mergeCell ref="K108:L108"/>
    <mergeCell ref="O108:P108"/>
    <mergeCell ref="G109:H109"/>
    <mergeCell ref="K109:L109"/>
    <mergeCell ref="O109:P109"/>
    <mergeCell ref="C121:D121"/>
    <mergeCell ref="C122:D122"/>
    <mergeCell ref="C114:D114"/>
    <mergeCell ref="C115:D115"/>
    <mergeCell ref="C116:D116"/>
    <mergeCell ref="C117:D117"/>
    <mergeCell ref="C118:D118"/>
    <mergeCell ref="C120:D120"/>
    <mergeCell ref="A128:A129"/>
    <mergeCell ref="B128:B129"/>
    <mergeCell ref="A140:A141"/>
    <mergeCell ref="B140:B141"/>
    <mergeCell ref="E129:H129"/>
    <mergeCell ref="I129:L129"/>
    <mergeCell ref="M129:P129"/>
    <mergeCell ref="E130:H130"/>
    <mergeCell ref="E131:H131"/>
    <mergeCell ref="E132:H132"/>
    <mergeCell ref="E133:H133"/>
    <mergeCell ref="C128:D129"/>
    <mergeCell ref="C130:D130"/>
    <mergeCell ref="C131:D131"/>
    <mergeCell ref="C132:D132"/>
    <mergeCell ref="C133:D133"/>
    <mergeCell ref="C134:D134"/>
    <mergeCell ref="E128:P128"/>
    <mergeCell ref="I134:L134"/>
    <mergeCell ref="M134:P134"/>
    <mergeCell ref="E134:H134"/>
    <mergeCell ref="I130:L130"/>
    <mergeCell ref="I131:L131"/>
    <mergeCell ref="I132:L132"/>
    <mergeCell ref="A152:A153"/>
    <mergeCell ref="B152:B153"/>
    <mergeCell ref="C140:D141"/>
    <mergeCell ref="C142:D142"/>
    <mergeCell ref="C143:D143"/>
    <mergeCell ref="C144:D144"/>
    <mergeCell ref="C145:D145"/>
    <mergeCell ref="C146:D146"/>
    <mergeCell ref="A170:A171"/>
    <mergeCell ref="B170:B171"/>
    <mergeCell ref="C170:C171"/>
    <mergeCell ref="D170:D171"/>
    <mergeCell ref="C156:D156"/>
    <mergeCell ref="C157:D157"/>
    <mergeCell ref="C163:D163"/>
    <mergeCell ref="C164:D164"/>
    <mergeCell ref="C162:D162"/>
    <mergeCell ref="C152:D153"/>
    <mergeCell ref="C154:D154"/>
    <mergeCell ref="E170:H170"/>
    <mergeCell ref="I170:L170"/>
    <mergeCell ref="M170:P170"/>
    <mergeCell ref="G171:H171"/>
    <mergeCell ref="K171:L171"/>
    <mergeCell ref="O171:P171"/>
    <mergeCell ref="K22:L22"/>
    <mergeCell ref="G21:H21"/>
    <mergeCell ref="G22:H22"/>
    <mergeCell ref="G23:H23"/>
    <mergeCell ref="O21:P21"/>
    <mergeCell ref="O22:P22"/>
    <mergeCell ref="O23:P23"/>
    <mergeCell ref="E29:H29"/>
    <mergeCell ref="I29:L29"/>
    <mergeCell ref="M29:P29"/>
    <mergeCell ref="K23:L23"/>
    <mergeCell ref="K33:L33"/>
    <mergeCell ref="G44:H44"/>
    <mergeCell ref="K44:L44"/>
    <mergeCell ref="O44:P44"/>
    <mergeCell ref="G37:H37"/>
    <mergeCell ref="K37:L37"/>
    <mergeCell ref="O37:P37"/>
    <mergeCell ref="C13:D13"/>
    <mergeCell ref="C21:D21"/>
    <mergeCell ref="C22:D22"/>
    <mergeCell ref="I19:L19"/>
    <mergeCell ref="K20:L20"/>
    <mergeCell ref="K21:L21"/>
    <mergeCell ref="O33:P33"/>
    <mergeCell ref="G34:H34"/>
    <mergeCell ref="K34:L34"/>
    <mergeCell ref="O34:P34"/>
    <mergeCell ref="O30:P30"/>
    <mergeCell ref="G31:H31"/>
    <mergeCell ref="K31:L31"/>
    <mergeCell ref="O31:P31"/>
    <mergeCell ref="G32:H32"/>
    <mergeCell ref="K32:L32"/>
    <mergeCell ref="O32:P32"/>
    <mergeCell ref="G35:H35"/>
    <mergeCell ref="K35:L35"/>
    <mergeCell ref="O35:P35"/>
    <mergeCell ref="G36:H36"/>
    <mergeCell ref="K36:L36"/>
    <mergeCell ref="O36:P36"/>
    <mergeCell ref="A41:P41"/>
    <mergeCell ref="G49:H49"/>
    <mergeCell ref="K49:L49"/>
    <mergeCell ref="O49:P49"/>
    <mergeCell ref="C43:D44"/>
    <mergeCell ref="C45:D45"/>
    <mergeCell ref="C46:D46"/>
    <mergeCell ref="C47:D47"/>
    <mergeCell ref="C48:D48"/>
    <mergeCell ref="C49:D49"/>
    <mergeCell ref="G47:H47"/>
    <mergeCell ref="K47:L47"/>
    <mergeCell ref="O47:P47"/>
    <mergeCell ref="G48:H48"/>
    <mergeCell ref="K48:L48"/>
    <mergeCell ref="O48:P48"/>
    <mergeCell ref="G45:H45"/>
    <mergeCell ref="K45:L45"/>
    <mergeCell ref="O45:P45"/>
    <mergeCell ref="G46:H46"/>
    <mergeCell ref="K46:L46"/>
    <mergeCell ref="O46:P46"/>
    <mergeCell ref="E43:H43"/>
    <mergeCell ref="I43:L43"/>
    <mergeCell ref="M43:P43"/>
    <mergeCell ref="C66:D66"/>
    <mergeCell ref="C67:D67"/>
    <mergeCell ref="E55:H55"/>
    <mergeCell ref="I55:L55"/>
    <mergeCell ref="M55:P55"/>
    <mergeCell ref="G56:H56"/>
    <mergeCell ref="K56:L56"/>
    <mergeCell ref="O56:P56"/>
    <mergeCell ref="G59:H59"/>
    <mergeCell ref="K59:L59"/>
    <mergeCell ref="O59:P59"/>
    <mergeCell ref="G60:H60"/>
    <mergeCell ref="K60:L60"/>
    <mergeCell ref="O60:P60"/>
    <mergeCell ref="G57:H57"/>
    <mergeCell ref="K57:L57"/>
    <mergeCell ref="O57:P57"/>
    <mergeCell ref="C61:D61"/>
    <mergeCell ref="C84:D84"/>
    <mergeCell ref="C85:D85"/>
    <mergeCell ref="C76:D76"/>
    <mergeCell ref="C77:D77"/>
    <mergeCell ref="C78:D78"/>
    <mergeCell ref="C79:D79"/>
    <mergeCell ref="C80:D80"/>
    <mergeCell ref="C71:D71"/>
    <mergeCell ref="C72:D72"/>
    <mergeCell ref="C73:D73"/>
    <mergeCell ref="C74:D74"/>
    <mergeCell ref="C75:D75"/>
    <mergeCell ref="C96:D96"/>
    <mergeCell ref="C97:D97"/>
    <mergeCell ref="C98:D98"/>
    <mergeCell ref="C55:D56"/>
    <mergeCell ref="C57:D57"/>
    <mergeCell ref="C91:D91"/>
    <mergeCell ref="C92:D92"/>
    <mergeCell ref="C93:D93"/>
    <mergeCell ref="C94:D94"/>
    <mergeCell ref="C95:D95"/>
    <mergeCell ref="C86:D86"/>
    <mergeCell ref="C87:D87"/>
    <mergeCell ref="C88:D88"/>
    <mergeCell ref="C89:D89"/>
    <mergeCell ref="C90:D90"/>
    <mergeCell ref="C81:D81"/>
    <mergeCell ref="C82:D82"/>
    <mergeCell ref="C83:D83"/>
    <mergeCell ref="C68:D68"/>
    <mergeCell ref="C69:D69"/>
    <mergeCell ref="C70:D70"/>
    <mergeCell ref="C58:D58"/>
    <mergeCell ref="C59:D59"/>
    <mergeCell ref="C60:D60"/>
    <mergeCell ref="G58:H58"/>
    <mergeCell ref="K58:L58"/>
    <mergeCell ref="O58:P58"/>
    <mergeCell ref="G63:H63"/>
    <mergeCell ref="K63:L63"/>
    <mergeCell ref="O63:P63"/>
    <mergeCell ref="G64:H64"/>
    <mergeCell ref="K64:L64"/>
    <mergeCell ref="O64:P64"/>
    <mergeCell ref="G61:H61"/>
    <mergeCell ref="K61:L61"/>
    <mergeCell ref="O61:P61"/>
    <mergeCell ref="G62:H62"/>
    <mergeCell ref="K62:L62"/>
    <mergeCell ref="O62:P62"/>
    <mergeCell ref="G67:H67"/>
    <mergeCell ref="K67:L67"/>
    <mergeCell ref="O67:P67"/>
    <mergeCell ref="G68:H68"/>
    <mergeCell ref="K68:L68"/>
    <mergeCell ref="O68:P68"/>
    <mergeCell ref="G65:H65"/>
    <mergeCell ref="K65:L65"/>
    <mergeCell ref="O65:P65"/>
    <mergeCell ref="G66:H66"/>
    <mergeCell ref="K66:L66"/>
    <mergeCell ref="O66:P66"/>
    <mergeCell ref="G71:H71"/>
    <mergeCell ref="K71:L71"/>
    <mergeCell ref="O71:P71"/>
    <mergeCell ref="G72:H72"/>
    <mergeCell ref="K72:L72"/>
    <mergeCell ref="O72:P72"/>
    <mergeCell ref="G69:H69"/>
    <mergeCell ref="K69:L69"/>
    <mergeCell ref="O69:P69"/>
    <mergeCell ref="G70:H70"/>
    <mergeCell ref="K70:L70"/>
    <mergeCell ref="O70:P70"/>
    <mergeCell ref="G75:H75"/>
    <mergeCell ref="K75:L75"/>
    <mergeCell ref="O75:P75"/>
    <mergeCell ref="G76:H76"/>
    <mergeCell ref="K76:L76"/>
    <mergeCell ref="O76:P76"/>
    <mergeCell ref="G73:H73"/>
    <mergeCell ref="K73:L73"/>
    <mergeCell ref="O73:P73"/>
    <mergeCell ref="G74:H74"/>
    <mergeCell ref="K74:L74"/>
    <mergeCell ref="O74:P74"/>
    <mergeCell ref="G79:H79"/>
    <mergeCell ref="K79:L79"/>
    <mergeCell ref="O79:P79"/>
    <mergeCell ref="G80:H80"/>
    <mergeCell ref="K80:L80"/>
    <mergeCell ref="O80:P80"/>
    <mergeCell ref="G77:H77"/>
    <mergeCell ref="K77:L77"/>
    <mergeCell ref="O77:P77"/>
    <mergeCell ref="G78:H78"/>
    <mergeCell ref="K78:L78"/>
    <mergeCell ref="O78:P78"/>
    <mergeCell ref="G83:H83"/>
    <mergeCell ref="K83:L83"/>
    <mergeCell ref="O83:P83"/>
    <mergeCell ref="G84:H84"/>
    <mergeCell ref="K84:L84"/>
    <mergeCell ref="O84:P84"/>
    <mergeCell ref="G81:H81"/>
    <mergeCell ref="K81:L81"/>
    <mergeCell ref="O81:P81"/>
    <mergeCell ref="G82:H82"/>
    <mergeCell ref="K82:L82"/>
    <mergeCell ref="O82:P82"/>
    <mergeCell ref="G87:H87"/>
    <mergeCell ref="K87:L87"/>
    <mergeCell ref="O87:P87"/>
    <mergeCell ref="G88:H88"/>
    <mergeCell ref="K88:L88"/>
    <mergeCell ref="O88:P88"/>
    <mergeCell ref="G85:H85"/>
    <mergeCell ref="K85:L85"/>
    <mergeCell ref="O85:P85"/>
    <mergeCell ref="G86:H86"/>
    <mergeCell ref="K86:L86"/>
    <mergeCell ref="O86:P86"/>
    <mergeCell ref="G91:H91"/>
    <mergeCell ref="K91:L91"/>
    <mergeCell ref="O91:P91"/>
    <mergeCell ref="G92:H92"/>
    <mergeCell ref="K92:L92"/>
    <mergeCell ref="O92:P92"/>
    <mergeCell ref="G89:H89"/>
    <mergeCell ref="K89:L89"/>
    <mergeCell ref="O89:P89"/>
    <mergeCell ref="G90:H90"/>
    <mergeCell ref="K90:L90"/>
    <mergeCell ref="O90:P90"/>
    <mergeCell ref="G95:H95"/>
    <mergeCell ref="K95:L95"/>
    <mergeCell ref="O95:P95"/>
    <mergeCell ref="G96:H96"/>
    <mergeCell ref="K96:L96"/>
    <mergeCell ref="O96:P96"/>
    <mergeCell ref="G93:H93"/>
    <mergeCell ref="K93:L93"/>
    <mergeCell ref="O93:P93"/>
    <mergeCell ref="G94:H94"/>
    <mergeCell ref="K94:L94"/>
    <mergeCell ref="O94:P94"/>
    <mergeCell ref="G97:H97"/>
    <mergeCell ref="K97:L97"/>
    <mergeCell ref="O97:P97"/>
    <mergeCell ref="C104:D105"/>
    <mergeCell ref="C106:D106"/>
    <mergeCell ref="E104:H104"/>
    <mergeCell ref="I104:L104"/>
    <mergeCell ref="M104:P104"/>
    <mergeCell ref="G105:H105"/>
    <mergeCell ref="K105:L105"/>
    <mergeCell ref="O105:P105"/>
    <mergeCell ref="G98:H98"/>
    <mergeCell ref="K98:L98"/>
    <mergeCell ref="O98:P98"/>
    <mergeCell ref="G106:H106"/>
    <mergeCell ref="K106:L106"/>
    <mergeCell ref="O106:P106"/>
    <mergeCell ref="A102:P102"/>
    <mergeCell ref="C111:D111"/>
    <mergeCell ref="C119:D119"/>
    <mergeCell ref="C112:D112"/>
    <mergeCell ref="C113:D113"/>
    <mergeCell ref="G111:H111"/>
    <mergeCell ref="K111:L111"/>
    <mergeCell ref="O111:P111"/>
    <mergeCell ref="G119:H119"/>
    <mergeCell ref="K119:L119"/>
    <mergeCell ref="O119:P119"/>
    <mergeCell ref="G110:H110"/>
    <mergeCell ref="K110:L110"/>
    <mergeCell ref="O110:P110"/>
    <mergeCell ref="G120:H120"/>
    <mergeCell ref="K120:L120"/>
    <mergeCell ref="O120:P120"/>
    <mergeCell ref="G114:H114"/>
    <mergeCell ref="K114:L114"/>
    <mergeCell ref="O114:P114"/>
    <mergeCell ref="G115:H115"/>
    <mergeCell ref="K115:L115"/>
    <mergeCell ref="O115:P115"/>
    <mergeCell ref="G112:H112"/>
    <mergeCell ref="K112:L112"/>
    <mergeCell ref="O112:P112"/>
    <mergeCell ref="G113:H113"/>
    <mergeCell ref="K113:L113"/>
    <mergeCell ref="O113:P113"/>
    <mergeCell ref="G118:H118"/>
    <mergeCell ref="K118:L118"/>
    <mergeCell ref="O118:P118"/>
    <mergeCell ref="G121:H121"/>
    <mergeCell ref="K121:L121"/>
    <mergeCell ref="O121:P121"/>
    <mergeCell ref="G116:H116"/>
    <mergeCell ref="K116:L116"/>
    <mergeCell ref="O116:P116"/>
    <mergeCell ref="G117:H117"/>
    <mergeCell ref="K117:L117"/>
    <mergeCell ref="O117:P117"/>
    <mergeCell ref="I133:L133"/>
    <mergeCell ref="M140:P140"/>
    <mergeCell ref="G141:H141"/>
    <mergeCell ref="K141:L141"/>
    <mergeCell ref="O141:P141"/>
    <mergeCell ref="G142:H142"/>
    <mergeCell ref="K142:L142"/>
    <mergeCell ref="O142:P142"/>
    <mergeCell ref="M130:P130"/>
    <mergeCell ref="M131:P131"/>
    <mergeCell ref="M132:P132"/>
    <mergeCell ref="M133:P133"/>
    <mergeCell ref="I140:L140"/>
    <mergeCell ref="G145:H145"/>
    <mergeCell ref="K145:L145"/>
    <mergeCell ref="O145:P145"/>
    <mergeCell ref="G146:H146"/>
    <mergeCell ref="K146:L146"/>
    <mergeCell ref="O146:P146"/>
    <mergeCell ref="G143:H143"/>
    <mergeCell ref="K143:L143"/>
    <mergeCell ref="O143:P143"/>
    <mergeCell ref="G144:H144"/>
    <mergeCell ref="K144:L144"/>
    <mergeCell ref="O144:P144"/>
    <mergeCell ref="E152:H152"/>
    <mergeCell ref="I152:L152"/>
    <mergeCell ref="M152:P152"/>
    <mergeCell ref="G153:H153"/>
    <mergeCell ref="K153:L153"/>
    <mergeCell ref="O153:P153"/>
    <mergeCell ref="G154:H154"/>
    <mergeCell ref="K154:L154"/>
    <mergeCell ref="O154:P154"/>
    <mergeCell ref="G155:H155"/>
    <mergeCell ref="K155:L155"/>
    <mergeCell ref="O155:P155"/>
    <mergeCell ref="G156:H156"/>
    <mergeCell ref="K156:L156"/>
    <mergeCell ref="C158:D158"/>
    <mergeCell ref="C159:D159"/>
    <mergeCell ref="C160:D160"/>
    <mergeCell ref="C161:D161"/>
    <mergeCell ref="C155:D155"/>
    <mergeCell ref="G159:H159"/>
    <mergeCell ref="K159:L159"/>
    <mergeCell ref="O159:P159"/>
    <mergeCell ref="G160:H160"/>
    <mergeCell ref="K160:L160"/>
    <mergeCell ref="O160:P160"/>
    <mergeCell ref="O156:P156"/>
    <mergeCell ref="G157:H157"/>
    <mergeCell ref="K157:L157"/>
    <mergeCell ref="O157:P157"/>
    <mergeCell ref="G158:H158"/>
    <mergeCell ref="K158:L158"/>
    <mergeCell ref="O158:P158"/>
    <mergeCell ref="G163:H163"/>
    <mergeCell ref="K163:L163"/>
    <mergeCell ref="O163:P163"/>
    <mergeCell ref="G164:H164"/>
    <mergeCell ref="K164:L164"/>
    <mergeCell ref="O164:P164"/>
    <mergeCell ref="G161:H161"/>
    <mergeCell ref="K161:L161"/>
    <mergeCell ref="O161:P161"/>
    <mergeCell ref="G162:H162"/>
    <mergeCell ref="K162:L162"/>
    <mergeCell ref="O162:P162"/>
    <mergeCell ref="G174:H174"/>
    <mergeCell ref="K174:L174"/>
    <mergeCell ref="O174:P174"/>
    <mergeCell ref="G175:H175"/>
    <mergeCell ref="K175:L175"/>
    <mergeCell ref="O175:P175"/>
    <mergeCell ref="G172:H172"/>
    <mergeCell ref="K172:L172"/>
    <mergeCell ref="O172:P172"/>
    <mergeCell ref="G173:H173"/>
    <mergeCell ref="K173:L173"/>
    <mergeCell ref="O173:P173"/>
    <mergeCell ref="G178:H178"/>
    <mergeCell ref="K178:L178"/>
    <mergeCell ref="O178:P178"/>
    <mergeCell ref="G179:H179"/>
    <mergeCell ref="K179:L179"/>
    <mergeCell ref="O179:P179"/>
    <mergeCell ref="G176:H176"/>
    <mergeCell ref="K176:L176"/>
    <mergeCell ref="O176:P176"/>
    <mergeCell ref="G177:H177"/>
    <mergeCell ref="K177:L177"/>
    <mergeCell ref="O177:P177"/>
    <mergeCell ref="G182:H182"/>
    <mergeCell ref="K182:L182"/>
    <mergeCell ref="O182:P182"/>
    <mergeCell ref="G183:H183"/>
    <mergeCell ref="K183:L183"/>
    <mergeCell ref="O183:P183"/>
    <mergeCell ref="G180:H180"/>
    <mergeCell ref="K180:L180"/>
    <mergeCell ref="O180:P180"/>
    <mergeCell ref="G181:H181"/>
    <mergeCell ref="K181:L181"/>
    <mergeCell ref="O181:P181"/>
    <mergeCell ref="G186:H186"/>
    <mergeCell ref="K186:L186"/>
    <mergeCell ref="O186:P186"/>
    <mergeCell ref="G187:H187"/>
    <mergeCell ref="K187:L187"/>
    <mergeCell ref="O187:P187"/>
    <mergeCell ref="G184:H184"/>
    <mergeCell ref="K184:L184"/>
    <mergeCell ref="O184:P184"/>
    <mergeCell ref="G185:H185"/>
    <mergeCell ref="K185:L185"/>
    <mergeCell ref="O185:P185"/>
    <mergeCell ref="G190:H190"/>
    <mergeCell ref="K190:L190"/>
    <mergeCell ref="O190:P190"/>
    <mergeCell ref="G191:H191"/>
    <mergeCell ref="K191:L191"/>
    <mergeCell ref="O191:P191"/>
    <mergeCell ref="G188:H188"/>
    <mergeCell ref="K188:L188"/>
    <mergeCell ref="O188:P188"/>
    <mergeCell ref="G189:H189"/>
    <mergeCell ref="K189:L189"/>
    <mergeCell ref="O189:P189"/>
  </mergeCells>
  <conditionalFormatting sqref="G58:H98">
    <cfRule type="expression" dxfId="101" priority="27">
      <formula>$G$97&lt;0</formula>
    </cfRule>
  </conditionalFormatting>
  <conditionalFormatting sqref="K97:L98">
    <cfRule type="expression" dxfId="100" priority="26">
      <formula>$K$97&lt;0</formula>
    </cfRule>
  </conditionalFormatting>
  <conditionalFormatting sqref="O97:P98">
    <cfRule type="expression" dxfId="99" priority="25">
      <formula>$O$97&lt;0</formula>
    </cfRule>
  </conditionalFormatting>
  <conditionalFormatting sqref="G107:H122">
    <cfRule type="expression" dxfId="98" priority="24">
      <formula>$G$121&lt;0</formula>
    </cfRule>
  </conditionalFormatting>
  <conditionalFormatting sqref="K122:L122">
    <cfRule type="expression" dxfId="97" priority="23">
      <formula>$K$121&lt;0</formula>
    </cfRule>
  </conditionalFormatting>
  <conditionalFormatting sqref="O122:P122">
    <cfRule type="expression" dxfId="96" priority="22">
      <formula>$O$121&lt;0</formula>
    </cfRule>
  </conditionalFormatting>
  <conditionalFormatting sqref="G155:H164">
    <cfRule type="expression" dxfId="95" priority="21">
      <formula>$G$163&lt;0</formula>
    </cfRule>
  </conditionalFormatting>
  <conditionalFormatting sqref="K155:L164">
    <cfRule type="expression" dxfId="94" priority="20">
      <formula>$K$163&lt;0</formula>
    </cfRule>
  </conditionalFormatting>
  <conditionalFormatting sqref="O155:P164">
    <cfRule type="expression" dxfId="93" priority="19">
      <formula>$O$163&lt;0</formula>
    </cfRule>
  </conditionalFormatting>
  <conditionalFormatting sqref="K58:L96">
    <cfRule type="expression" dxfId="92" priority="18">
      <formula>$G$97&lt;0</formula>
    </cfRule>
  </conditionalFormatting>
  <conditionalFormatting sqref="O58:P96">
    <cfRule type="expression" dxfId="91" priority="17">
      <formula>$G$97&lt;0</formula>
    </cfRule>
  </conditionalFormatting>
  <conditionalFormatting sqref="E58:P97">
    <cfRule type="containsBlanks" dxfId="90" priority="30">
      <formula>LEN(TRIM(E58))=0</formula>
    </cfRule>
  </conditionalFormatting>
  <conditionalFormatting sqref="E8:P12">
    <cfRule type="containsBlanks" dxfId="89" priority="91">
      <formula>LEN(TRIM(E8))=0</formula>
    </cfRule>
  </conditionalFormatting>
  <conditionalFormatting sqref="K107:L121">
    <cfRule type="expression" dxfId="88" priority="11">
      <formula>$G$121&lt;0</formula>
    </cfRule>
  </conditionalFormatting>
  <conditionalFormatting sqref="O107:P121">
    <cfRule type="expression" dxfId="87" priority="10">
      <formula>$G$121&lt;0</formula>
    </cfRule>
  </conditionalFormatting>
  <conditionalFormatting sqref="E107:F121 I107:J121 M107:N121">
    <cfRule type="containsBlanks" dxfId="86" priority="29">
      <formula>LEN(TRIM(E107))=0</formula>
    </cfRule>
  </conditionalFormatting>
  <conditionalFormatting sqref="E131:P133">
    <cfRule type="containsBlanks" dxfId="85" priority="8">
      <formula>LEN(TRIM(E131))=0</formula>
    </cfRule>
  </conditionalFormatting>
  <conditionalFormatting sqref="E143:P145">
    <cfRule type="containsBlanks" dxfId="84" priority="7">
      <formula>LEN(TRIM(E143))=0</formula>
    </cfRule>
  </conditionalFormatting>
  <conditionalFormatting sqref="E155:P163">
    <cfRule type="containsBlanks" dxfId="83" priority="6">
      <formula>LEN(TRIM(E155))=0</formula>
    </cfRule>
  </conditionalFormatting>
  <conditionalFormatting sqref="E46:P48">
    <cfRule type="containsBlanks" dxfId="82" priority="5">
      <formula>LEN(TRIM(E46))=0</formula>
    </cfRule>
  </conditionalFormatting>
  <conditionalFormatting sqref="E22:P22">
    <cfRule type="containsBlanks" dxfId="81" priority="4">
      <formula>LEN(TRIM(E22))=0</formula>
    </cfRule>
  </conditionalFormatting>
  <conditionalFormatting sqref="H8:H13">
    <cfRule type="expression" dxfId="80" priority="81">
      <formula>$H$8&lt;0</formula>
    </cfRule>
  </conditionalFormatting>
  <conditionalFormatting sqref="L8:L13">
    <cfRule type="expression" dxfId="79" priority="83">
      <formula>$L$8&lt;0</formula>
    </cfRule>
  </conditionalFormatting>
  <conditionalFormatting sqref="P8:P13">
    <cfRule type="expression" dxfId="78" priority="85">
      <formula>$P$8&lt;0</formula>
    </cfRule>
  </conditionalFormatting>
  <conditionalFormatting sqref="G22:H23">
    <cfRule type="expression" dxfId="77" priority="86">
      <formula>#REF!&lt;0</formula>
    </cfRule>
  </conditionalFormatting>
  <conditionalFormatting sqref="K22:L23">
    <cfRule type="expression" dxfId="76" priority="88">
      <formula>#REF!&lt;0</formula>
    </cfRule>
  </conditionalFormatting>
  <conditionalFormatting sqref="O22:P23">
    <cfRule type="expression" dxfId="75" priority="90">
      <formula>#REF!&lt;0</formula>
    </cfRule>
  </conditionalFormatting>
  <pageMargins left="0.19685039370078741" right="0.19685039370078741" top="0.74803149606299213" bottom="0.19685039370078741" header="0.31496062992125984" footer="0.31496062992125984"/>
  <pageSetup paperSize="9" scale="66" fitToHeight="2" orientation="landscape" r:id="rId1"/>
  <rowBreaks count="1" manualBreakCount="1">
    <brk id="26"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1"/>
  <dimension ref="A1:W184"/>
  <sheetViews>
    <sheetView view="pageBreakPreview" topLeftCell="A19" zoomScale="60" zoomScaleNormal="70" workbookViewId="0">
      <selection activeCell="O32" sqref="O32:P35"/>
    </sheetView>
  </sheetViews>
  <sheetFormatPr defaultRowHeight="15.75" x14ac:dyDescent="0.25"/>
  <cols>
    <col min="1" max="1" width="11.28515625" customWidth="1"/>
    <col min="2" max="2" width="4.85546875" style="507" customWidth="1"/>
    <col min="3" max="3" width="41.140625" customWidth="1"/>
    <col min="4" max="4" width="12.42578125" customWidth="1"/>
    <col min="5" max="16" width="12.7109375" customWidth="1"/>
    <col min="17" max="19" width="9.140625" style="533"/>
    <col min="20" max="20" width="9.140625" style="378"/>
    <col min="23" max="23" width="14.7109375" bestFit="1" customWidth="1"/>
  </cols>
  <sheetData>
    <row r="1" spans="1:20" s="449" customFormat="1" ht="27.75" customHeight="1" x14ac:dyDescent="0.2">
      <c r="A1" s="1281" t="s">
        <v>756</v>
      </c>
      <c r="B1" s="1281"/>
      <c r="C1" s="1281"/>
      <c r="D1" s="1281"/>
      <c r="E1" s="1281"/>
      <c r="F1" s="1281"/>
      <c r="G1" s="1281"/>
      <c r="H1" s="1281"/>
      <c r="I1" s="1281"/>
      <c r="J1" s="1281"/>
      <c r="K1" s="1281"/>
      <c r="L1" s="1281"/>
      <c r="M1" s="1281"/>
      <c r="N1" s="1281"/>
      <c r="O1" s="1281"/>
      <c r="P1" s="1281"/>
      <c r="Q1" s="523"/>
      <c r="R1" s="523"/>
      <c r="S1" s="523"/>
      <c r="T1" s="448"/>
    </row>
    <row r="2" spans="1:20" s="449" customFormat="1" ht="27.75" customHeight="1" x14ac:dyDescent="0.2">
      <c r="A2" s="1134" t="s">
        <v>613</v>
      </c>
      <c r="B2" s="1134"/>
      <c r="C2" s="1134"/>
      <c r="D2" s="1134"/>
      <c r="E2" s="1134"/>
      <c r="F2" s="1134"/>
      <c r="G2" s="1134"/>
      <c r="H2" s="1134"/>
      <c r="I2" s="1134"/>
      <c r="J2" s="1134"/>
      <c r="K2" s="1134"/>
      <c r="L2" s="1134"/>
      <c r="M2" s="1134"/>
      <c r="N2" s="1134"/>
      <c r="O2" s="1134"/>
      <c r="P2" s="1134"/>
      <c r="Q2" s="523"/>
      <c r="R2" s="523"/>
      <c r="S2" s="523"/>
      <c r="T2" s="448"/>
    </row>
    <row r="3" spans="1:20" s="449" customFormat="1" ht="27.75" customHeight="1" x14ac:dyDescent="0.2">
      <c r="A3" s="989" t="s">
        <v>614</v>
      </c>
      <c r="B3" s="989"/>
      <c r="C3" s="989"/>
      <c r="D3" s="989"/>
      <c r="E3" s="989"/>
      <c r="F3" s="989"/>
      <c r="G3" s="989"/>
      <c r="H3" s="989"/>
      <c r="I3" s="989"/>
      <c r="J3" s="989"/>
      <c r="K3" s="989"/>
      <c r="L3" s="989"/>
      <c r="M3" s="989"/>
      <c r="N3" s="989"/>
      <c r="O3" s="989"/>
      <c r="P3" s="989"/>
      <c r="Q3" s="523"/>
      <c r="R3" s="523"/>
      <c r="S3" s="523"/>
      <c r="T3" s="448"/>
    </row>
    <row r="4" spans="1:20" s="374" customFormat="1" ht="12" customHeight="1" x14ac:dyDescent="0.2">
      <c r="B4" s="506"/>
      <c r="Q4" s="531"/>
      <c r="R4" s="531"/>
      <c r="S4" s="531"/>
      <c r="T4" s="376"/>
    </row>
    <row r="5" spans="1:20" s="374" customFormat="1" ht="33.75" customHeight="1" x14ac:dyDescent="0.2">
      <c r="A5" s="1034" t="s">
        <v>598</v>
      </c>
      <c r="B5" s="1000" t="s">
        <v>484</v>
      </c>
      <c r="C5" s="1282" t="s">
        <v>610</v>
      </c>
      <c r="D5" s="1283"/>
      <c r="E5" s="1176" t="s">
        <v>831</v>
      </c>
      <c r="F5" s="1177"/>
      <c r="G5" s="1177"/>
      <c r="H5" s="1262"/>
      <c r="I5" s="1179" t="s">
        <v>825</v>
      </c>
      <c r="J5" s="1180"/>
      <c r="K5" s="1180"/>
      <c r="L5" s="1181"/>
      <c r="M5" s="1190" t="s">
        <v>823</v>
      </c>
      <c r="N5" s="1180"/>
      <c r="O5" s="1180"/>
      <c r="P5" s="1181"/>
      <c r="Q5" s="531"/>
      <c r="R5" s="531"/>
      <c r="S5" s="531"/>
      <c r="T5" s="376"/>
    </row>
    <row r="6" spans="1:20" s="374" customFormat="1" ht="38.25" x14ac:dyDescent="0.2">
      <c r="A6" s="1035"/>
      <c r="B6" s="1036"/>
      <c r="C6" s="1284"/>
      <c r="D6" s="1285"/>
      <c r="E6" s="402" t="s">
        <v>615</v>
      </c>
      <c r="F6" s="403" t="s">
        <v>612</v>
      </c>
      <c r="G6" s="403" t="s">
        <v>616</v>
      </c>
      <c r="H6" s="404" t="s">
        <v>553</v>
      </c>
      <c r="I6" s="405" t="s">
        <v>615</v>
      </c>
      <c r="J6" s="403" t="s">
        <v>612</v>
      </c>
      <c r="K6" s="403" t="s">
        <v>616</v>
      </c>
      <c r="L6" s="406" t="s">
        <v>553</v>
      </c>
      <c r="M6" s="402" t="s">
        <v>615</v>
      </c>
      <c r="N6" s="403" t="s">
        <v>612</v>
      </c>
      <c r="O6" s="403" t="s">
        <v>616</v>
      </c>
      <c r="P6" s="406" t="s">
        <v>553</v>
      </c>
      <c r="Q6" s="531"/>
      <c r="R6" s="531"/>
      <c r="S6" s="531"/>
      <c r="T6" s="376"/>
    </row>
    <row r="7" spans="1:20" s="374" customFormat="1" x14ac:dyDescent="0.2">
      <c r="A7" s="417" t="s">
        <v>6</v>
      </c>
      <c r="B7" s="733" t="s">
        <v>7</v>
      </c>
      <c r="C7" s="1004" t="s">
        <v>8</v>
      </c>
      <c r="D7" s="1005"/>
      <c r="E7" s="416" t="s">
        <v>9</v>
      </c>
      <c r="F7" s="408" t="s">
        <v>10</v>
      </c>
      <c r="G7" s="408" t="s">
        <v>467</v>
      </c>
      <c r="H7" s="410" t="s">
        <v>617</v>
      </c>
      <c r="I7" s="417" t="s">
        <v>465</v>
      </c>
      <c r="J7" s="408" t="s">
        <v>464</v>
      </c>
      <c r="K7" s="408" t="s">
        <v>463</v>
      </c>
      <c r="L7" s="409" t="s">
        <v>618</v>
      </c>
      <c r="M7" s="416" t="s">
        <v>469</v>
      </c>
      <c r="N7" s="408" t="s">
        <v>574</v>
      </c>
      <c r="O7" s="408" t="s">
        <v>619</v>
      </c>
      <c r="P7" s="409" t="s">
        <v>620</v>
      </c>
      <c r="Q7" s="531"/>
      <c r="R7" s="531"/>
      <c r="S7" s="531"/>
      <c r="T7" s="376"/>
    </row>
    <row r="8" spans="1:20" s="334" customFormat="1" ht="27.75" customHeight="1" x14ac:dyDescent="0.2">
      <c r="A8" s="486">
        <v>244</v>
      </c>
      <c r="B8" s="491">
        <v>1</v>
      </c>
      <c r="C8" s="1167" t="s">
        <v>680</v>
      </c>
      <c r="D8" s="1240"/>
      <c r="E8" s="649">
        <f>IF(H8&gt;0,1,0)</f>
        <v>0</v>
      </c>
      <c r="F8" s="647">
        <f>IFERROR(ROUND(H8/G8,2),0)</f>
        <v>0</v>
      </c>
      <c r="G8" s="655">
        <f>IF(H8&gt;0,1.86,0)</f>
        <v>0</v>
      </c>
      <c r="H8" s="677"/>
      <c r="I8" s="646">
        <f>IF(L8&gt;0,1,0)</f>
        <v>0</v>
      </c>
      <c r="J8" s="647">
        <f>IFERROR(ROUND(L8/K8,2),0)</f>
        <v>0</v>
      </c>
      <c r="K8" s="655">
        <f>IF(L8&gt;0,1.86,0)</f>
        <v>0</v>
      </c>
      <c r="L8" s="656"/>
      <c r="M8" s="649">
        <f>IF(P8&gt;0,1,0)</f>
        <v>0</v>
      </c>
      <c r="N8" s="647">
        <f>IFERROR(ROUND(P8/O8,2),0)</f>
        <v>0</v>
      </c>
      <c r="O8" s="655">
        <f>IF(P8&gt;0,1.86,0)</f>
        <v>0</v>
      </c>
      <c r="P8" s="656"/>
      <c r="Q8" s="523"/>
      <c r="R8" s="523"/>
      <c r="S8" s="523"/>
      <c r="T8" s="379"/>
    </row>
    <row r="9" spans="1:20" s="334" customFormat="1" ht="27.75" customHeight="1" x14ac:dyDescent="0.2">
      <c r="A9" s="452">
        <v>244</v>
      </c>
      <c r="B9" s="450">
        <v>2</v>
      </c>
      <c r="C9" s="1186" t="s">
        <v>684</v>
      </c>
      <c r="D9" s="1244"/>
      <c r="E9" s="463">
        <f>IF(ROUNDDOWN(H13/633.6/F9,0)&gt;6,6,ROUNDDOWN(H13/633.6/F9,0))</f>
        <v>6</v>
      </c>
      <c r="F9" s="464">
        <v>12</v>
      </c>
      <c r="G9" s="580">
        <v>633</v>
      </c>
      <c r="H9" s="713">
        <f>ROUND(E9*F9*G9,2)</f>
        <v>45576</v>
      </c>
      <c r="I9" s="463">
        <f>IF(ROUNDDOWN(L13/633.6/J9,0)&gt;6,6,ROUNDDOWN(L13/633.6/J9,0))</f>
        <v>6</v>
      </c>
      <c r="J9" s="464">
        <v>12</v>
      </c>
      <c r="K9" s="580">
        <v>633</v>
      </c>
      <c r="L9" s="581">
        <f>ROUND(I9*J9*K9,2)</f>
        <v>45576</v>
      </c>
      <c r="M9" s="463">
        <f>IF(ROUNDDOWN(P13/633.6/N9,0)&gt;6,6,ROUNDDOWN(P13/633.6/N9,0))</f>
        <v>6</v>
      </c>
      <c r="N9" s="464">
        <v>12</v>
      </c>
      <c r="O9" s="580">
        <v>633</v>
      </c>
      <c r="P9" s="581">
        <f>ROUND(M9*N9*O9,2)</f>
        <v>45576</v>
      </c>
      <c r="Q9" s="523"/>
      <c r="R9" s="523"/>
      <c r="S9" s="523"/>
      <c r="T9" s="379"/>
    </row>
    <row r="10" spans="1:20" s="334" customFormat="1" ht="27.75" customHeight="1" x14ac:dyDescent="0.2">
      <c r="A10" s="452">
        <v>244</v>
      </c>
      <c r="B10" s="450">
        <v>3</v>
      </c>
      <c r="C10" s="1186" t="s">
        <v>685</v>
      </c>
      <c r="D10" s="1244"/>
      <c r="E10" s="463">
        <f>IF(H10&gt;0,1,0)</f>
        <v>0</v>
      </c>
      <c r="F10" s="464">
        <f>IF(H10&gt;0,12,0)</f>
        <v>0</v>
      </c>
      <c r="G10" s="580">
        <f>IFERROR(ROUND(H10/(E10*F10),2),0)</f>
        <v>0</v>
      </c>
      <c r="H10" s="678"/>
      <c r="I10" s="465">
        <f>IF(L10&gt;0,1,0)</f>
        <v>0</v>
      </c>
      <c r="J10" s="464">
        <f>IF(L10&gt;0,12,0)</f>
        <v>0</v>
      </c>
      <c r="K10" s="580">
        <f>IFERROR(ROUND(L10/(I10*J10),2),0)</f>
        <v>0</v>
      </c>
      <c r="L10" s="581"/>
      <c r="M10" s="463">
        <f>IF(P10&gt;0,1,0)</f>
        <v>0</v>
      </c>
      <c r="N10" s="464">
        <f>IF(P10&gt;0,12,0)</f>
        <v>0</v>
      </c>
      <c r="O10" s="580">
        <f>IFERROR(ROUND(P10/(M10*N10),2),0)</f>
        <v>0</v>
      </c>
      <c r="P10" s="581"/>
      <c r="Q10" s="523"/>
      <c r="R10" s="523"/>
      <c r="S10" s="523"/>
      <c r="T10" s="379"/>
    </row>
    <row r="11" spans="1:20" s="334" customFormat="1" ht="27.75" customHeight="1" x14ac:dyDescent="0.2">
      <c r="A11" s="452">
        <v>244</v>
      </c>
      <c r="B11" s="450">
        <v>4</v>
      </c>
      <c r="C11" s="1186" t="s">
        <v>686</v>
      </c>
      <c r="D11" s="1244"/>
      <c r="E11" s="463">
        <v>0</v>
      </c>
      <c r="F11" s="464">
        <v>0</v>
      </c>
      <c r="G11" s="580">
        <v>0</v>
      </c>
      <c r="H11" s="678"/>
      <c r="I11" s="465">
        <v>0</v>
      </c>
      <c r="J11" s="464">
        <v>0</v>
      </c>
      <c r="K11" s="580">
        <v>0</v>
      </c>
      <c r="L11" s="581"/>
      <c r="M11" s="463">
        <v>0</v>
      </c>
      <c r="N11" s="464">
        <v>0</v>
      </c>
      <c r="O11" s="580">
        <v>0</v>
      </c>
      <c r="P11" s="581"/>
      <c r="Q11" s="523"/>
      <c r="R11" s="523"/>
      <c r="S11" s="523"/>
      <c r="T11" s="379"/>
    </row>
    <row r="12" spans="1:20" s="334" customFormat="1" ht="27.75" customHeight="1" x14ac:dyDescent="0.2">
      <c r="A12" s="452">
        <v>244</v>
      </c>
      <c r="B12" s="450">
        <v>5</v>
      </c>
      <c r="C12" s="1186" t="s">
        <v>681</v>
      </c>
      <c r="D12" s="1244"/>
      <c r="E12" s="463" t="s">
        <v>462</v>
      </c>
      <c r="F12" s="649">
        <f>ROUNDUP(H12/50,0)</f>
        <v>5127</v>
      </c>
      <c r="G12" s="717">
        <f>IFERROR(ROUND(H12/F12,2),0)</f>
        <v>50</v>
      </c>
      <c r="H12" s="678">
        <f>H13-H9-H10-H11-H8</f>
        <v>256330</v>
      </c>
      <c r="I12" s="465" t="s">
        <v>462</v>
      </c>
      <c r="J12" s="649">
        <f>ROUNDUP(L12/50,0)</f>
        <v>5127</v>
      </c>
      <c r="K12" s="717">
        <f>IFERROR(ROUND(L12/J12,2),0)</f>
        <v>50</v>
      </c>
      <c r="L12" s="581">
        <f>L13-L9-L10-L11-L8</f>
        <v>256330</v>
      </c>
      <c r="M12" s="463" t="s">
        <v>462</v>
      </c>
      <c r="N12" s="649">
        <f>ROUNDUP(P12/50,0)</f>
        <v>5127</v>
      </c>
      <c r="O12" s="717">
        <f>IFERROR(ROUND(P12/N12,2),0)</f>
        <v>50</v>
      </c>
      <c r="P12" s="581">
        <f>P13-P9-P10-P11-P8</f>
        <v>256330</v>
      </c>
      <c r="Q12" s="523"/>
      <c r="R12" s="523"/>
      <c r="S12" s="523"/>
      <c r="T12" s="379"/>
    </row>
    <row r="13" spans="1:20" s="334" customFormat="1" ht="27.75" customHeight="1" x14ac:dyDescent="0.2">
      <c r="A13" s="508"/>
      <c r="B13" s="509"/>
      <c r="C13" s="1258" t="s">
        <v>611</v>
      </c>
      <c r="D13" s="1259"/>
      <c r="E13" s="510" t="s">
        <v>462</v>
      </c>
      <c r="F13" s="511" t="s">
        <v>462</v>
      </c>
      <c r="G13" s="511" t="s">
        <v>462</v>
      </c>
      <c r="H13" s="679">
        <f>SUMIFS(Титульный!$E$13:$E$157,
Титульный!$A$13:$A$157,'Расходы КФО 4'!$Q13,
Титульный!$B$13:$B$157,'Расходы КФО 4'!$R13,
Титульный!$D$13:$D$157,'Расходы КФО 4'!$S13)</f>
        <v>301906</v>
      </c>
      <c r="I13" s="512" t="s">
        <v>462</v>
      </c>
      <c r="J13" s="511" t="s">
        <v>462</v>
      </c>
      <c r="K13" s="511" t="s">
        <v>462</v>
      </c>
      <c r="L13" s="670">
        <f>SUMIFS(Титульный!$F$13:$F$157,
Титульный!$A$13:$A$157,'Расходы КФО 4'!$Q13,
Титульный!$B$13:$B$157,'Расходы КФО 4'!$R13,
Титульный!$D$13:$D$157,'Расходы КФО 4'!$S13)</f>
        <v>301906</v>
      </c>
      <c r="M13" s="510" t="s">
        <v>462</v>
      </c>
      <c r="N13" s="511" t="s">
        <v>462</v>
      </c>
      <c r="O13" s="511" t="s">
        <v>462</v>
      </c>
      <c r="P13" s="670">
        <f>SUMIFS(Титульный!$G$13:$G$157,
Титульный!$A$13:$A$157,'Расходы КФО 4'!$Q13,
Титульный!$B$13:$B$157,'Расходы КФО 4'!$R13,
Титульный!$D$13:$D$157,'Расходы КФО 4'!$S13)</f>
        <v>301906</v>
      </c>
      <c r="Q13" s="523">
        <v>4</v>
      </c>
      <c r="R13" s="523">
        <v>244</v>
      </c>
      <c r="S13" s="523">
        <v>221</v>
      </c>
      <c r="T13" s="379"/>
    </row>
    <row r="14" spans="1:20" s="374" customFormat="1" ht="12" customHeight="1" x14ac:dyDescent="0.2">
      <c r="B14" s="506"/>
      <c r="Q14" s="531"/>
      <c r="R14" s="531"/>
      <c r="S14" s="531"/>
      <c r="T14" s="376"/>
    </row>
    <row r="15" spans="1:20" s="374" customFormat="1" ht="12" customHeight="1" x14ac:dyDescent="0.2">
      <c r="B15" s="506"/>
      <c r="Q15" s="531"/>
      <c r="R15" s="531"/>
      <c r="S15" s="531"/>
      <c r="T15" s="376"/>
    </row>
    <row r="16" spans="1:20" s="374" customFormat="1" ht="12" customHeight="1" x14ac:dyDescent="0.2">
      <c r="B16" s="506"/>
      <c r="Q16" s="531"/>
      <c r="R16" s="531"/>
      <c r="S16" s="531"/>
      <c r="T16" s="376"/>
    </row>
    <row r="17" spans="1:20" s="449" customFormat="1" ht="27.75" customHeight="1" x14ac:dyDescent="0.2">
      <c r="A17" s="989" t="s">
        <v>621</v>
      </c>
      <c r="B17" s="989"/>
      <c r="C17" s="989"/>
      <c r="D17" s="989"/>
      <c r="E17" s="989"/>
      <c r="F17" s="989"/>
      <c r="G17" s="989"/>
      <c r="H17" s="989"/>
      <c r="I17" s="989"/>
      <c r="J17" s="989"/>
      <c r="K17" s="989"/>
      <c r="L17" s="989"/>
      <c r="M17" s="989"/>
      <c r="N17" s="989"/>
      <c r="O17" s="989"/>
      <c r="P17" s="989"/>
      <c r="Q17" s="523"/>
      <c r="R17" s="523"/>
      <c r="S17" s="523"/>
      <c r="T17" s="448"/>
    </row>
    <row r="18" spans="1:20" s="374" customFormat="1" ht="12" customHeight="1" x14ac:dyDescent="0.2">
      <c r="B18" s="506"/>
      <c r="Q18" s="531"/>
      <c r="R18" s="531"/>
      <c r="S18" s="531"/>
      <c r="T18" s="376"/>
    </row>
    <row r="19" spans="1:20" s="374" customFormat="1" ht="33" customHeight="1" x14ac:dyDescent="0.2">
      <c r="A19" s="1034" t="s">
        <v>598</v>
      </c>
      <c r="B19" s="1000" t="s">
        <v>484</v>
      </c>
      <c r="C19" s="1282" t="s">
        <v>610</v>
      </c>
      <c r="D19" s="1283"/>
      <c r="E19" s="1176" t="s">
        <v>831</v>
      </c>
      <c r="F19" s="1177"/>
      <c r="G19" s="1177"/>
      <c r="H19" s="1262"/>
      <c r="I19" s="1179" t="s">
        <v>825</v>
      </c>
      <c r="J19" s="1180"/>
      <c r="K19" s="1180"/>
      <c r="L19" s="1181"/>
      <c r="M19" s="1190" t="s">
        <v>823</v>
      </c>
      <c r="N19" s="1180"/>
      <c r="O19" s="1180"/>
      <c r="P19" s="1181"/>
      <c r="Q19" s="531"/>
      <c r="R19" s="531"/>
      <c r="S19" s="531"/>
      <c r="T19" s="376"/>
    </row>
    <row r="20" spans="1:20" s="374" customFormat="1" ht="51" x14ac:dyDescent="0.2">
      <c r="A20" s="1035"/>
      <c r="B20" s="1036"/>
      <c r="C20" s="1284"/>
      <c r="D20" s="1285"/>
      <c r="E20" s="399" t="s">
        <v>622</v>
      </c>
      <c r="F20" s="401" t="s">
        <v>623</v>
      </c>
      <c r="G20" s="1203" t="s">
        <v>553</v>
      </c>
      <c r="H20" s="1204"/>
      <c r="I20" s="399" t="s">
        <v>622</v>
      </c>
      <c r="J20" s="401" t="s">
        <v>623</v>
      </c>
      <c r="K20" s="1203" t="s">
        <v>553</v>
      </c>
      <c r="L20" s="1204"/>
      <c r="M20" s="399" t="s">
        <v>622</v>
      </c>
      <c r="N20" s="401" t="s">
        <v>623</v>
      </c>
      <c r="O20" s="1203" t="s">
        <v>553</v>
      </c>
      <c r="P20" s="1204"/>
      <c r="Q20" s="531"/>
      <c r="R20" s="531"/>
      <c r="S20" s="531"/>
      <c r="T20" s="376"/>
    </row>
    <row r="21" spans="1:20" s="333" customFormat="1" x14ac:dyDescent="0.2">
      <c r="A21" s="417" t="s">
        <v>6</v>
      </c>
      <c r="B21" s="761" t="s">
        <v>7</v>
      </c>
      <c r="C21" s="1260" t="s">
        <v>8</v>
      </c>
      <c r="D21" s="1261"/>
      <c r="E21" s="417">
        <v>4</v>
      </c>
      <c r="F21" s="408">
        <v>5</v>
      </c>
      <c r="G21" s="1004" t="s">
        <v>784</v>
      </c>
      <c r="H21" s="1005"/>
      <c r="I21" s="417">
        <v>7</v>
      </c>
      <c r="J21" s="408">
        <v>8</v>
      </c>
      <c r="K21" s="1004" t="s">
        <v>785</v>
      </c>
      <c r="L21" s="1005"/>
      <c r="M21" s="417" t="s">
        <v>463</v>
      </c>
      <c r="N21" s="408" t="s">
        <v>468</v>
      </c>
      <c r="O21" s="1004" t="s">
        <v>556</v>
      </c>
      <c r="P21" s="1005"/>
      <c r="Q21" s="532"/>
      <c r="R21" s="532"/>
      <c r="S21" s="532"/>
      <c r="T21" s="377"/>
    </row>
    <row r="22" spans="1:20" s="334" customFormat="1" ht="27.75" customHeight="1" x14ac:dyDescent="0.2">
      <c r="A22" s="486">
        <v>244</v>
      </c>
      <c r="B22" s="497" t="s">
        <v>6</v>
      </c>
      <c r="C22" s="1167" t="s">
        <v>682</v>
      </c>
      <c r="D22" s="1167"/>
      <c r="E22" s="646">
        <f>ROUNDUP(G22/10000,0)</f>
        <v>1</v>
      </c>
      <c r="F22" s="655">
        <f>IFERROR(ROUND(G22/E22,2),0)</f>
        <v>7500</v>
      </c>
      <c r="G22" s="1069">
        <f>G23</f>
        <v>7500</v>
      </c>
      <c r="H22" s="1071"/>
      <c r="I22" s="646">
        <f>ROUNDUP(K22/10000,0)</f>
        <v>1</v>
      </c>
      <c r="J22" s="655">
        <f>IFERROR(ROUND(K22/I22,2),0)</f>
        <v>7500</v>
      </c>
      <c r="K22" s="1069">
        <f>K23</f>
        <v>7500</v>
      </c>
      <c r="L22" s="1071"/>
      <c r="M22" s="646">
        <f>ROUNDUP(O22/10000,0)</f>
        <v>1</v>
      </c>
      <c r="N22" s="655">
        <f>IFERROR(ROUND(O22/M22,2),0)</f>
        <v>7500</v>
      </c>
      <c r="O22" s="1069">
        <f>O23</f>
        <v>7500</v>
      </c>
      <c r="P22" s="1071"/>
      <c r="Q22" s="523"/>
      <c r="R22" s="523"/>
      <c r="S22" s="523"/>
      <c r="T22" s="379"/>
    </row>
    <row r="23" spans="1:20" s="524" customFormat="1" ht="27.75" customHeight="1" x14ac:dyDescent="0.2">
      <c r="A23" s="508"/>
      <c r="B23" s="515"/>
      <c r="C23" s="1258" t="s">
        <v>611</v>
      </c>
      <c r="D23" s="1259"/>
      <c r="E23" s="512" t="s">
        <v>462</v>
      </c>
      <c r="F23" s="511" t="s">
        <v>462</v>
      </c>
      <c r="G23" s="1008">
        <f>SUMIFS(Титульный!$E$13:$E$157,Титульный!$A$13:$A$157,'Расходы КФО 4'!$Q23,Титульный!$B$13:$B$157,'Расходы КФО 4'!$R23,Титульный!$D$13:$D$157,'Расходы КФО 4'!$S23)</f>
        <v>7500</v>
      </c>
      <c r="H23" s="1009">
        <f>SUMIFS(Титульный!$E$13:$E$157,Титульный!$A$13:$A$157,'Расходы КФО 4'!$Q23,Титульный!$B$13:$B$157,'Расходы КФО 4'!$R23,Титульный!$D$13:$D$157,'Расходы КФО 4'!$S23)</f>
        <v>7500</v>
      </c>
      <c r="I23" s="512" t="s">
        <v>462</v>
      </c>
      <c r="J23" s="511" t="s">
        <v>462</v>
      </c>
      <c r="K23" s="1008">
        <f>SUMIFS(Титульный!$F$13:$F$157,
Титульный!$A$13:$A$157,'Расходы КФО 4'!$Q23,
Титульный!$B$13:$B$157,'Расходы КФО 4'!$R23,
Титульный!$D$13:$D$157,'Расходы КФО 4'!$S23)</f>
        <v>7500</v>
      </c>
      <c r="L23" s="1009">
        <f>SUMIFS(Титульный!$F$13:$F$157,
Титульный!$A$13:$A$157,'Расходы КФО 4'!$Q23,
Титульный!$B$13:$B$157,'Расходы КФО 4'!$R23,
Титульный!$D$13:$D$157,'Расходы КФО 4'!$S23)</f>
        <v>7500</v>
      </c>
      <c r="M23" s="512" t="s">
        <v>462</v>
      </c>
      <c r="N23" s="511" t="s">
        <v>462</v>
      </c>
      <c r="O23" s="1008">
        <f>SUMIFS(Титульный!$G$13:$G$157,
Титульный!$A$13:$A$157,'Расходы КФО 4'!$Q23,
Титульный!$B$13:$B$157,'Расходы КФО 4'!$R23,
Титульный!$D$13:$D$157,'Расходы КФО 4'!$S23)</f>
        <v>7500</v>
      </c>
      <c r="P23" s="1009">
        <f>SUMIFS(Титульный!$G$13:$G$157,
Титульный!$A$13:$A$157,'Расходы КФО 4'!$Q23,
Титульный!$B$13:$B$157,'Расходы КФО 4'!$R23,
Титульный!$D$13:$D$157,'Расходы КФО 4'!$S23)</f>
        <v>7500</v>
      </c>
      <c r="Q23" s="523">
        <v>4</v>
      </c>
      <c r="R23" s="523">
        <v>244</v>
      </c>
      <c r="S23" s="523">
        <v>222</v>
      </c>
      <c r="T23" s="523"/>
    </row>
    <row r="24" spans="1:20" s="374" customFormat="1" ht="12" customHeight="1" x14ac:dyDescent="0.2">
      <c r="B24" s="506"/>
      <c r="Q24" s="531"/>
      <c r="R24" s="531"/>
      <c r="S24" s="531"/>
      <c r="T24" s="376"/>
    </row>
    <row r="25" spans="1:20" s="374" customFormat="1" ht="12" customHeight="1" x14ac:dyDescent="0.2">
      <c r="B25" s="506"/>
      <c r="Q25" s="531"/>
      <c r="R25" s="531"/>
      <c r="S25" s="531"/>
      <c r="T25" s="376"/>
    </row>
    <row r="26" spans="1:20" s="374" customFormat="1" ht="12" customHeight="1" x14ac:dyDescent="0.2">
      <c r="B26" s="506"/>
      <c r="Q26" s="531"/>
      <c r="R26" s="531"/>
      <c r="S26" s="531"/>
      <c r="T26" s="376"/>
    </row>
    <row r="27" spans="1:20" s="449" customFormat="1" ht="27.75" customHeight="1" x14ac:dyDescent="0.2">
      <c r="A27" s="989" t="s">
        <v>624</v>
      </c>
      <c r="B27" s="989"/>
      <c r="C27" s="989"/>
      <c r="D27" s="989"/>
      <c r="E27" s="989"/>
      <c r="F27" s="989"/>
      <c r="G27" s="989"/>
      <c r="H27" s="989"/>
      <c r="I27" s="989"/>
      <c r="J27" s="989"/>
      <c r="K27" s="989"/>
      <c r="L27" s="989"/>
      <c r="M27" s="989"/>
      <c r="N27" s="989"/>
      <c r="O27" s="989"/>
      <c r="P27" s="989"/>
      <c r="Q27" s="523"/>
      <c r="R27" s="523"/>
      <c r="S27" s="523"/>
      <c r="T27" s="448"/>
    </row>
    <row r="28" spans="1:20" s="374" customFormat="1" ht="12" customHeight="1" x14ac:dyDescent="0.2">
      <c r="B28" s="506"/>
      <c r="Q28" s="531"/>
      <c r="R28" s="531"/>
      <c r="S28" s="531"/>
      <c r="T28" s="376"/>
    </row>
    <row r="29" spans="1:20" s="374" customFormat="1" ht="33.75" customHeight="1" x14ac:dyDescent="0.2">
      <c r="A29" s="1034" t="s">
        <v>598</v>
      </c>
      <c r="B29" s="1000" t="s">
        <v>484</v>
      </c>
      <c r="C29" s="1208" t="s">
        <v>0</v>
      </c>
      <c r="D29" s="1064" t="s">
        <v>229</v>
      </c>
      <c r="E29" s="1176" t="s">
        <v>831</v>
      </c>
      <c r="F29" s="1177"/>
      <c r="G29" s="1177"/>
      <c r="H29" s="1262"/>
      <c r="I29" s="1179" t="s">
        <v>825</v>
      </c>
      <c r="J29" s="1180"/>
      <c r="K29" s="1180"/>
      <c r="L29" s="1181"/>
      <c r="M29" s="1190" t="s">
        <v>823</v>
      </c>
      <c r="N29" s="1180"/>
      <c r="O29" s="1180"/>
      <c r="P29" s="1181"/>
      <c r="Q29" s="531"/>
      <c r="R29" s="531"/>
      <c r="S29" s="531"/>
      <c r="T29" s="376"/>
    </row>
    <row r="30" spans="1:20" s="374" customFormat="1" ht="38.25" x14ac:dyDescent="0.2">
      <c r="A30" s="1035"/>
      <c r="B30" s="1036"/>
      <c r="C30" s="1214"/>
      <c r="D30" s="1066"/>
      <c r="E30" s="399" t="s">
        <v>625</v>
      </c>
      <c r="F30" s="401" t="s">
        <v>626</v>
      </c>
      <c r="G30" s="1203" t="s">
        <v>553</v>
      </c>
      <c r="H30" s="1204"/>
      <c r="I30" s="399" t="s">
        <v>625</v>
      </c>
      <c r="J30" s="401" t="s">
        <v>626</v>
      </c>
      <c r="K30" s="1203" t="s">
        <v>553</v>
      </c>
      <c r="L30" s="1204"/>
      <c r="M30" s="399" t="s">
        <v>625</v>
      </c>
      <c r="N30" s="401" t="s">
        <v>626</v>
      </c>
      <c r="O30" s="1203" t="s">
        <v>553</v>
      </c>
      <c r="P30" s="1204"/>
      <c r="Q30" s="531"/>
      <c r="R30" s="531"/>
      <c r="S30" s="531"/>
      <c r="T30" s="376"/>
    </row>
    <row r="31" spans="1:20" s="333" customFormat="1" x14ac:dyDescent="0.2">
      <c r="A31" s="417" t="s">
        <v>6</v>
      </c>
      <c r="B31" s="761" t="s">
        <v>7</v>
      </c>
      <c r="C31" s="408" t="s">
        <v>8</v>
      </c>
      <c r="D31" s="409" t="s">
        <v>9</v>
      </c>
      <c r="E31" s="417">
        <v>5</v>
      </c>
      <c r="F31" s="408">
        <v>6</v>
      </c>
      <c r="G31" s="1004" t="s">
        <v>786</v>
      </c>
      <c r="H31" s="1005"/>
      <c r="I31" s="417">
        <v>8</v>
      </c>
      <c r="J31" s="408">
        <v>9</v>
      </c>
      <c r="K31" s="1004" t="s">
        <v>787</v>
      </c>
      <c r="L31" s="1005"/>
      <c r="M31" s="417">
        <v>11</v>
      </c>
      <c r="N31" s="408">
        <v>12</v>
      </c>
      <c r="O31" s="1004" t="s">
        <v>788</v>
      </c>
      <c r="P31" s="1005"/>
      <c r="Q31" s="532"/>
      <c r="R31" s="532"/>
      <c r="S31" s="532"/>
      <c r="T31" s="377"/>
    </row>
    <row r="32" spans="1:20" s="334" customFormat="1" ht="27.75" customHeight="1" x14ac:dyDescent="0.2">
      <c r="A32" s="475">
        <v>247</v>
      </c>
      <c r="B32" s="476" t="s">
        <v>6</v>
      </c>
      <c r="C32" s="477" t="s">
        <v>628</v>
      </c>
      <c r="D32" s="478" t="s">
        <v>790</v>
      </c>
      <c r="E32" s="680">
        <f>ROUND(G32/F32,2)</f>
        <v>881.19</v>
      </c>
      <c r="F32" s="655">
        <f>'Расходы КФО 2'!F32</f>
        <v>4024.91</v>
      </c>
      <c r="G32" s="1069">
        <f>SUMIFS(Титульный!$E$13:$E$157,Титульный!$A$13:$A$157,'Расходы КФО 4'!$Q32,Титульный!$B$13:$B$157,'Расходы КФО 4'!$R32,Титульный!$D$13:$D$157,'Расходы КФО 4'!$S32)*0.82</f>
        <v>3546712.1995999999</v>
      </c>
      <c r="H32" s="1071"/>
      <c r="I32" s="680">
        <f>ROUND(K32/J32,2)</f>
        <v>811.77</v>
      </c>
      <c r="J32" s="655">
        <f>'Расходы КФО 2'!J32</f>
        <v>4181.8814899999998</v>
      </c>
      <c r="K32" s="1069">
        <f>SUMIFS(Титульный!$F$13:$F$157,
Титульный!$A$13:$A$157,'Расходы КФО 4'!$Q32,
Титульный!$B$13:$B$157,'Расходы КФО 4'!$R32,
Титульный!$D$13:$D$157,'Расходы КФО 4'!$S32)*0.82</f>
        <v>3394718</v>
      </c>
      <c r="L32" s="1071"/>
      <c r="M32" s="680">
        <f>ROUND(O32/N32,2)</f>
        <v>818.28</v>
      </c>
      <c r="N32" s="655">
        <f>'Расходы КФО 2'!N32</f>
        <v>4344.9748681099991</v>
      </c>
      <c r="O32" s="1069">
        <f>SUMIFS(Титульный!$G$13:$G$157,
Титульный!$A$13:$A$157,'Расходы КФО 4'!$Q32,
Титульный!$B$13:$B$157,'Расходы КФО 4'!$R32,
Титульный!$D$13:$D$157,'Расходы КФО 4'!$S32)*0.82</f>
        <v>3555423.2399999998</v>
      </c>
      <c r="P32" s="1071"/>
      <c r="Q32" s="523">
        <v>4</v>
      </c>
      <c r="R32" s="523">
        <v>247</v>
      </c>
      <c r="S32" s="523">
        <v>223</v>
      </c>
      <c r="T32" s="379"/>
    </row>
    <row r="33" spans="1:23" s="334" customFormat="1" ht="27.75" customHeight="1" x14ac:dyDescent="0.2">
      <c r="A33" s="452">
        <v>247</v>
      </c>
      <c r="B33" s="451" t="s">
        <v>7</v>
      </c>
      <c r="C33" s="479" t="s">
        <v>627</v>
      </c>
      <c r="D33" s="453" t="s">
        <v>789</v>
      </c>
      <c r="E33" s="604">
        <f t="shared" ref="E33:E35" si="0">ROUND(G33/F33,2)</f>
        <v>128885.64</v>
      </c>
      <c r="F33" s="717">
        <f>'Расходы КФО 2'!F33</f>
        <v>6.0406000000000004</v>
      </c>
      <c r="G33" s="1238">
        <f>SUMIFS(Титульный!$E$13:$E$157,Титульный!$A$13:$A$157,'Расходы КФО 4'!$Q33,Титульный!$B$13:$B$157,'Расходы КФО 4'!$R33,Титульный!$D$13:$D$157,'Расходы КФО 4'!$S33)*0.18</f>
        <v>778546.58039999998</v>
      </c>
      <c r="H33" s="1239"/>
      <c r="I33" s="604">
        <f t="shared" ref="I33:I35" si="1">ROUND(K33/J33,2)</f>
        <v>118731.71</v>
      </c>
      <c r="J33" s="717">
        <f>'Расходы КФО 2'!J33</f>
        <v>6.2761833999999999</v>
      </c>
      <c r="K33" s="1238">
        <f>SUMIFS(Титульный!$F$13:$F$157,
Титульный!$A$13:$A$157,'Расходы КФО 4'!$Q33,
Титульный!$B$13:$B$157,'Расходы КФО 4'!$R33,
Титульный!$D$13:$D$157,'Расходы КФО 4'!$S33)*0.18</f>
        <v>745182</v>
      </c>
      <c r="L33" s="1239"/>
      <c r="M33" s="604">
        <f t="shared" ref="M33:M35" si="2">ROUND(O33/N33,2)</f>
        <v>119684.74</v>
      </c>
      <c r="N33" s="717">
        <f>'Расходы КФО 2'!N33</f>
        <v>6.5209545525999992</v>
      </c>
      <c r="O33" s="1238">
        <f>SUMIFS(Титульный!$G$13:$G$157,
Титульный!$A$13:$A$157,'Расходы КФО 4'!$Q33,
Титульный!$B$13:$B$157,'Расходы КФО 4'!$R33,
Титульный!$D$13:$D$157,'Расходы КФО 4'!$S33)*0.18</f>
        <v>780458.76</v>
      </c>
      <c r="P33" s="1239"/>
      <c r="Q33" s="523">
        <v>4</v>
      </c>
      <c r="R33" s="523">
        <v>247</v>
      </c>
      <c r="S33" s="523">
        <v>223</v>
      </c>
      <c r="T33" s="379"/>
    </row>
    <row r="34" spans="1:23" s="334" customFormat="1" ht="27.75" customHeight="1" x14ac:dyDescent="0.2">
      <c r="A34" s="452">
        <v>244</v>
      </c>
      <c r="B34" s="451" t="s">
        <v>8</v>
      </c>
      <c r="C34" s="480" t="s">
        <v>629</v>
      </c>
      <c r="D34" s="453" t="s">
        <v>791</v>
      </c>
      <c r="E34" s="604">
        <f t="shared" si="0"/>
        <v>3279.39</v>
      </c>
      <c r="F34" s="717">
        <f>'Расходы КФО 2'!F34</f>
        <v>57.463200000000001</v>
      </c>
      <c r="G34" s="1238">
        <f>SUMIFS(Титульный!$E$13:$E$157,Титульный!$A$13:$A$157,'Расходы КФО 4'!$Q34,Титульный!$B$13:$B$157,'Расходы КФО 4'!$R34,Титульный!$D$13:$D$157,'Расходы КФО 4'!$S34)-G35</f>
        <v>188443.99999999997</v>
      </c>
      <c r="H34" s="1239"/>
      <c r="I34" s="604">
        <f t="shared" si="1"/>
        <v>3282.55</v>
      </c>
      <c r="J34" s="717">
        <f>'Расходы КФО 2'!J34</f>
        <v>59.704264799999997</v>
      </c>
      <c r="K34" s="1238">
        <f>SUMIFS(Титульный!$F$13:$F$157,
Титульный!$A$13:$A$157,'Расходы КФО 4'!$Q34,
Титульный!$B$13:$B$157,'Расходы КФО 4'!$R34,
Титульный!$D$13:$D$157,'Расходы КФО 4'!$S34)-K35</f>
        <v>195982</v>
      </c>
      <c r="L34" s="1239"/>
      <c r="M34" s="604">
        <f t="shared" si="2"/>
        <v>0</v>
      </c>
      <c r="N34" s="717">
        <f>'Расходы КФО 2'!N34</f>
        <v>62.032731127199995</v>
      </c>
      <c r="O34" s="1238">
        <f>SUMIFS(Титульный!$G$13:$G$157,
Титульный!$A$13:$A$157,'Расходы КФО 4'!$Q34,
Титульный!$B$13:$B$157,'Расходы КФО 4'!$R34,
Титульный!$D$13:$D$157,'Расходы КФО 4'!$S34)-O35</f>
        <v>0</v>
      </c>
      <c r="P34" s="1239"/>
      <c r="Q34" s="523">
        <v>4</v>
      </c>
      <c r="R34" s="523">
        <v>244</v>
      </c>
      <c r="S34" s="523">
        <v>223</v>
      </c>
      <c r="T34" s="379"/>
    </row>
    <row r="35" spans="1:23" s="334" customFormat="1" ht="27.75" customHeight="1" x14ac:dyDescent="0.2">
      <c r="A35" s="452">
        <v>244</v>
      </c>
      <c r="B35" s="451" t="s">
        <v>9</v>
      </c>
      <c r="C35" s="480" t="s">
        <v>630</v>
      </c>
      <c r="D35" s="453" t="s">
        <v>791</v>
      </c>
      <c r="E35" s="604">
        <f t="shared" si="0"/>
        <v>197.86</v>
      </c>
      <c r="F35" s="717">
        <f>'Расходы КФО 2'!F35</f>
        <v>866.95</v>
      </c>
      <c r="G35" s="1238">
        <f>Титульный!E68</f>
        <v>171532.23</v>
      </c>
      <c r="H35" s="1239"/>
      <c r="I35" s="604">
        <f t="shared" si="1"/>
        <v>197.7</v>
      </c>
      <c r="J35" s="717">
        <f>'Расходы КФО 2'!J35</f>
        <v>866.95</v>
      </c>
      <c r="K35" s="1002">
        <f>Титульный!F68</f>
        <v>171394</v>
      </c>
      <c r="L35" s="1003"/>
      <c r="M35" s="604">
        <f t="shared" si="2"/>
        <v>197.7</v>
      </c>
      <c r="N35" s="717">
        <f>'Расходы КФО 2'!N35</f>
        <v>866.95</v>
      </c>
      <c r="O35" s="1002">
        <f>Титульный!G68</f>
        <v>171394</v>
      </c>
      <c r="P35" s="1003"/>
      <c r="Q35" s="523">
        <v>4</v>
      </c>
      <c r="R35" s="523">
        <v>244</v>
      </c>
      <c r="S35" s="523">
        <v>223</v>
      </c>
      <c r="T35" s="379"/>
    </row>
    <row r="36" spans="1:23" s="334" customFormat="1" ht="27.75" hidden="1" customHeight="1" x14ac:dyDescent="0.2">
      <c r="A36" s="481"/>
      <c r="B36" s="496"/>
      <c r="C36" s="483"/>
      <c r="D36" s="484"/>
      <c r="E36" s="681"/>
      <c r="F36" s="665"/>
      <c r="G36" s="1070"/>
      <c r="H36" s="1075"/>
      <c r="I36" s="681"/>
      <c r="J36" s="665"/>
      <c r="K36" s="1070"/>
      <c r="L36" s="1075"/>
      <c r="M36" s="681"/>
      <c r="N36" s="665"/>
      <c r="O36" s="1070"/>
      <c r="P36" s="1075"/>
      <c r="Q36" s="523"/>
      <c r="R36" s="523"/>
      <c r="S36" s="523"/>
      <c r="T36" s="379"/>
    </row>
    <row r="37" spans="1:23" s="524" customFormat="1" ht="27.75" customHeight="1" x14ac:dyDescent="0.2">
      <c r="A37" s="514"/>
      <c r="B37" s="515"/>
      <c r="C37" s="485" t="s">
        <v>611</v>
      </c>
      <c r="D37" s="516" t="s">
        <v>462</v>
      </c>
      <c r="E37" s="512" t="s">
        <v>462</v>
      </c>
      <c r="F37" s="511" t="s">
        <v>462</v>
      </c>
      <c r="G37" s="1008">
        <f>SUM(G32:H35)</f>
        <v>4685235.0100000007</v>
      </c>
      <c r="H37" s="1009"/>
      <c r="I37" s="512" t="s">
        <v>462</v>
      </c>
      <c r="J37" s="511" t="s">
        <v>462</v>
      </c>
      <c r="K37" s="1008">
        <f>SUM(K32:L35)</f>
        <v>4507276</v>
      </c>
      <c r="L37" s="1009"/>
      <c r="M37" s="512" t="s">
        <v>462</v>
      </c>
      <c r="N37" s="511" t="s">
        <v>462</v>
      </c>
      <c r="O37" s="1008">
        <f>SUM(O32:P35)</f>
        <v>4507276</v>
      </c>
      <c r="P37" s="1009"/>
      <c r="Q37" s="523"/>
      <c r="R37" s="523"/>
      <c r="S37" s="523"/>
      <c r="T37" s="523"/>
      <c r="W37" s="821"/>
    </row>
    <row r="38" spans="1:23" s="374" customFormat="1" ht="12" customHeight="1" x14ac:dyDescent="0.2">
      <c r="B38" s="506"/>
      <c r="Q38" s="531"/>
      <c r="R38" s="531"/>
      <c r="S38" s="531"/>
      <c r="T38" s="376"/>
    </row>
    <row r="39" spans="1:23" s="374" customFormat="1" ht="12" customHeight="1" x14ac:dyDescent="0.2">
      <c r="B39" s="506"/>
      <c r="Q39" s="531"/>
      <c r="R39" s="531"/>
      <c r="S39" s="531"/>
      <c r="T39" s="376"/>
    </row>
    <row r="40" spans="1:23" s="374" customFormat="1" ht="12" customHeight="1" x14ac:dyDescent="0.2">
      <c r="B40" s="506"/>
      <c r="Q40" s="531"/>
      <c r="R40" s="531"/>
      <c r="S40" s="531"/>
      <c r="T40" s="376"/>
    </row>
    <row r="41" spans="1:23" s="449" customFormat="1" ht="27.75" customHeight="1" x14ac:dyDescent="0.2">
      <c r="A41" s="989" t="s">
        <v>631</v>
      </c>
      <c r="B41" s="989"/>
      <c r="C41" s="989"/>
      <c r="D41" s="989"/>
      <c r="E41" s="989"/>
      <c r="F41" s="989"/>
      <c r="G41" s="989"/>
      <c r="H41" s="989"/>
      <c r="I41" s="989"/>
      <c r="J41" s="989"/>
      <c r="K41" s="989"/>
      <c r="L41" s="989"/>
      <c r="M41" s="989"/>
      <c r="N41" s="989"/>
      <c r="O41" s="989"/>
      <c r="P41" s="989"/>
      <c r="Q41" s="523"/>
      <c r="R41" s="523"/>
      <c r="S41" s="523"/>
      <c r="T41" s="448"/>
    </row>
    <row r="42" spans="1:23" s="374" customFormat="1" ht="12" customHeight="1" x14ac:dyDescent="0.2">
      <c r="B42" s="506"/>
      <c r="Q42" s="531"/>
      <c r="R42" s="531"/>
      <c r="S42" s="531"/>
      <c r="T42" s="376"/>
    </row>
    <row r="43" spans="1:23" s="374" customFormat="1" ht="33" customHeight="1" x14ac:dyDescent="0.2">
      <c r="A43" s="1034" t="s">
        <v>598</v>
      </c>
      <c r="B43" s="1000" t="s">
        <v>484</v>
      </c>
      <c r="C43" s="1208" t="s">
        <v>610</v>
      </c>
      <c r="D43" s="1037"/>
      <c r="E43" s="1176" t="s">
        <v>831</v>
      </c>
      <c r="F43" s="1177"/>
      <c r="G43" s="1177"/>
      <c r="H43" s="1178"/>
      <c r="I43" s="1179" t="s">
        <v>825</v>
      </c>
      <c r="J43" s="1180"/>
      <c r="K43" s="1180"/>
      <c r="L43" s="1181"/>
      <c r="M43" s="1190" t="s">
        <v>823</v>
      </c>
      <c r="N43" s="1180"/>
      <c r="O43" s="1180"/>
      <c r="P43" s="1181"/>
      <c r="Q43" s="531"/>
      <c r="R43" s="531"/>
      <c r="S43" s="531"/>
      <c r="T43" s="376"/>
    </row>
    <row r="44" spans="1:23" s="374" customFormat="1" ht="51" x14ac:dyDescent="0.2">
      <c r="A44" s="1035"/>
      <c r="B44" s="1036"/>
      <c r="C44" s="1245"/>
      <c r="D44" s="1254"/>
      <c r="E44" s="411" t="s">
        <v>632</v>
      </c>
      <c r="F44" s="413" t="s">
        <v>633</v>
      </c>
      <c r="G44" s="1263" t="s">
        <v>553</v>
      </c>
      <c r="H44" s="1264"/>
      <c r="I44" s="411" t="s">
        <v>632</v>
      </c>
      <c r="J44" s="413" t="s">
        <v>633</v>
      </c>
      <c r="K44" s="1263" t="s">
        <v>553</v>
      </c>
      <c r="L44" s="1264"/>
      <c r="M44" s="414" t="s">
        <v>632</v>
      </c>
      <c r="N44" s="413" t="s">
        <v>633</v>
      </c>
      <c r="O44" s="1263" t="s">
        <v>553</v>
      </c>
      <c r="P44" s="1264"/>
      <c r="Q44" s="531"/>
      <c r="R44" s="531"/>
      <c r="S44" s="531"/>
      <c r="T44" s="376"/>
    </row>
    <row r="45" spans="1:23" s="374" customFormat="1" x14ac:dyDescent="0.2">
      <c r="A45" s="417" t="s">
        <v>6</v>
      </c>
      <c r="B45" s="502" t="s">
        <v>7</v>
      </c>
      <c r="C45" s="1247" t="s">
        <v>8</v>
      </c>
      <c r="D45" s="1248"/>
      <c r="E45" s="417">
        <v>4</v>
      </c>
      <c r="F45" s="408">
        <v>5</v>
      </c>
      <c r="G45" s="1004" t="s">
        <v>784</v>
      </c>
      <c r="H45" s="1005"/>
      <c r="I45" s="417">
        <v>7</v>
      </c>
      <c r="J45" s="408">
        <v>8</v>
      </c>
      <c r="K45" s="1004" t="s">
        <v>785</v>
      </c>
      <c r="L45" s="1005"/>
      <c r="M45" s="417" t="s">
        <v>463</v>
      </c>
      <c r="N45" s="408" t="s">
        <v>468</v>
      </c>
      <c r="O45" s="1004" t="s">
        <v>556</v>
      </c>
      <c r="P45" s="1005"/>
      <c r="Q45" s="531"/>
      <c r="R45" s="531"/>
      <c r="S45" s="531"/>
      <c r="T45" s="376"/>
    </row>
    <row r="46" spans="1:23" s="334" customFormat="1" ht="27.75" customHeight="1" x14ac:dyDescent="0.2">
      <c r="A46" s="486">
        <v>244</v>
      </c>
      <c r="B46" s="491" t="s">
        <v>6</v>
      </c>
      <c r="C46" s="1167" t="s">
        <v>264</v>
      </c>
      <c r="D46" s="1255"/>
      <c r="E46" s="680"/>
      <c r="F46" s="655"/>
      <c r="G46" s="1069">
        <f>Титульный!E69</f>
        <v>0</v>
      </c>
      <c r="H46" s="1071"/>
      <c r="I46" s="680"/>
      <c r="J46" s="655"/>
      <c r="K46" s="1069">
        <f>Титульный!F69</f>
        <v>0</v>
      </c>
      <c r="L46" s="1071"/>
      <c r="M46" s="654"/>
      <c r="N46" s="655"/>
      <c r="O46" s="1069">
        <f>Титульный!G69</f>
        <v>0</v>
      </c>
      <c r="P46" s="1071"/>
      <c r="Q46" s="523"/>
      <c r="R46" s="523"/>
      <c r="S46" s="523"/>
      <c r="T46" s="379"/>
    </row>
    <row r="47" spans="1:23" s="334" customFormat="1" ht="27.75" customHeight="1" x14ac:dyDescent="0.2">
      <c r="A47" s="452">
        <v>244</v>
      </c>
      <c r="B47" s="450" t="s">
        <v>7</v>
      </c>
      <c r="C47" s="1186" t="s">
        <v>265</v>
      </c>
      <c r="D47" s="1256"/>
      <c r="E47" s="604"/>
      <c r="F47" s="580"/>
      <c r="G47" s="1002">
        <f>Титульный!E70</f>
        <v>0</v>
      </c>
      <c r="H47" s="1003"/>
      <c r="I47" s="604"/>
      <c r="J47" s="580"/>
      <c r="K47" s="1002">
        <f>Титульный!F70</f>
        <v>0</v>
      </c>
      <c r="L47" s="1003"/>
      <c r="M47" s="605"/>
      <c r="N47" s="580"/>
      <c r="O47" s="1002">
        <f>Титульный!G70</f>
        <v>0</v>
      </c>
      <c r="P47" s="1003"/>
      <c r="Q47" s="523"/>
      <c r="R47" s="523"/>
      <c r="S47" s="523"/>
      <c r="T47" s="379"/>
    </row>
    <row r="48" spans="1:23" s="334" customFormat="1" ht="27.75" customHeight="1" x14ac:dyDescent="0.2">
      <c r="A48" s="493">
        <v>244</v>
      </c>
      <c r="B48" s="502" t="s">
        <v>8</v>
      </c>
      <c r="C48" s="1257" t="s">
        <v>683</v>
      </c>
      <c r="D48" s="1154"/>
      <c r="E48" s="606"/>
      <c r="F48" s="586"/>
      <c r="G48" s="1006">
        <f>G49-SUM(G46:H47)</f>
        <v>241880</v>
      </c>
      <c r="H48" s="1007"/>
      <c r="I48" s="606"/>
      <c r="J48" s="586"/>
      <c r="K48" s="1006">
        <f>K49-SUM(K46:L47)</f>
        <v>0</v>
      </c>
      <c r="L48" s="1007"/>
      <c r="M48" s="607"/>
      <c r="N48" s="586"/>
      <c r="O48" s="1006">
        <f>O49-SUM(O46:P47)</f>
        <v>0</v>
      </c>
      <c r="P48" s="1007"/>
      <c r="Q48" s="523"/>
      <c r="R48" s="523"/>
      <c r="S48" s="523"/>
      <c r="T48" s="379"/>
    </row>
    <row r="49" spans="1:22" s="524" customFormat="1" ht="27.75" customHeight="1" x14ac:dyDescent="0.2">
      <c r="A49" s="517"/>
      <c r="B49" s="518"/>
      <c r="C49" s="1249" t="s">
        <v>611</v>
      </c>
      <c r="D49" s="1250"/>
      <c r="E49" s="519" t="s">
        <v>462</v>
      </c>
      <c r="F49" s="520" t="s">
        <v>462</v>
      </c>
      <c r="G49" s="1043">
        <f>SUMIFS(Титульный!$E$13:$E$157,Титульный!$A$13:$A$157,'Расходы КФО 4'!$Q49,Титульный!$B$13:$B$157,'Расходы КФО 4'!$R49,Титульный!$D$13:$D$157,'Расходы КФО 4'!$S49)</f>
        <v>241880</v>
      </c>
      <c r="H49" s="1044">
        <f>SUMIFS(Титульный!$E$13:$E$157,Титульный!$A$13:$A$157,'Расходы КФО 4'!$Q49,Титульный!$B$13:$B$157,'Расходы КФО 4'!$R49,Титульный!$D$13:$D$157,'Расходы КФО 4'!$S49)</f>
        <v>241880</v>
      </c>
      <c r="I49" s="519" t="s">
        <v>462</v>
      </c>
      <c r="J49" s="520" t="s">
        <v>462</v>
      </c>
      <c r="K49" s="1043">
        <f>SUMIFS(Титульный!$F$13:$F$157,
Титульный!$A$13:$A$157,'Расходы КФО 4'!$Q49,
Титульный!$B$13:$B$157,'Расходы КФО 4'!$R49,
Титульный!$D$13:$D$157,'Расходы КФО 4'!$S49)</f>
        <v>0</v>
      </c>
      <c r="L49" s="1044">
        <f>SUMIFS(Титульный!$F$13:$F$157,
Титульный!$A$13:$A$157,'Расходы КФО 4'!$Q49,
Титульный!$B$13:$B$157,'Расходы КФО 4'!$R49,
Титульный!$D$13:$D$157,'Расходы КФО 4'!$S49)</f>
        <v>0</v>
      </c>
      <c r="M49" s="521" t="s">
        <v>462</v>
      </c>
      <c r="N49" s="520" t="s">
        <v>462</v>
      </c>
      <c r="O49" s="1043">
        <f>SUMIFS(Титульный!$G$13:$G$157,
Титульный!$A$13:$A$157,'Расходы КФО 4'!$Q49,
Титульный!$B$13:$B$157,'Расходы КФО 4'!$R49,
Титульный!$D$13:$D$157,'Расходы КФО 4'!$S49)</f>
        <v>0</v>
      </c>
      <c r="P49" s="1044">
        <f>SUMIFS(Титульный!$G$13:$G$157,
Титульный!$A$13:$A$157,'Расходы КФО 4'!$Q49,
Титульный!$B$13:$B$157,'Расходы КФО 4'!$R49,
Титульный!$D$13:$D$157,'Расходы КФО 4'!$S49)</f>
        <v>0</v>
      </c>
      <c r="Q49" s="523">
        <v>4</v>
      </c>
      <c r="R49" s="523">
        <v>244</v>
      </c>
      <c r="S49" s="523">
        <v>224</v>
      </c>
      <c r="T49" s="523"/>
    </row>
    <row r="50" spans="1:22" s="374" customFormat="1" ht="12" customHeight="1" x14ac:dyDescent="0.2">
      <c r="B50" s="506"/>
      <c r="Q50" s="531"/>
      <c r="R50" s="531"/>
      <c r="S50" s="531"/>
      <c r="T50" s="376"/>
    </row>
    <row r="51" spans="1:22" s="374" customFormat="1" ht="12" customHeight="1" x14ac:dyDescent="0.2">
      <c r="B51" s="506"/>
      <c r="Q51" s="531"/>
      <c r="R51" s="531"/>
      <c r="S51" s="531"/>
      <c r="T51" s="376"/>
    </row>
    <row r="52" spans="1:22" s="374" customFormat="1" ht="12" customHeight="1" x14ac:dyDescent="0.2">
      <c r="B52" s="506"/>
      <c r="Q52" s="531"/>
      <c r="R52" s="531"/>
      <c r="S52" s="531"/>
      <c r="T52" s="376"/>
    </row>
    <row r="53" spans="1:22" s="449" customFormat="1" ht="27.75" customHeight="1" x14ac:dyDescent="0.2">
      <c r="A53" s="989" t="s">
        <v>634</v>
      </c>
      <c r="B53" s="989"/>
      <c r="C53" s="989"/>
      <c r="D53" s="989"/>
      <c r="E53" s="989"/>
      <c r="F53" s="989"/>
      <c r="G53" s="989"/>
      <c r="H53" s="989"/>
      <c r="I53" s="989"/>
      <c r="J53" s="989"/>
      <c r="K53" s="989"/>
      <c r="L53" s="989"/>
      <c r="M53" s="989"/>
      <c r="N53" s="989"/>
      <c r="O53" s="989"/>
      <c r="P53" s="989"/>
      <c r="Q53" s="523"/>
      <c r="R53" s="523"/>
      <c r="S53" s="523"/>
      <c r="T53" s="448"/>
    </row>
    <row r="54" spans="1:22" s="374" customFormat="1" ht="12" customHeight="1" x14ac:dyDescent="0.2">
      <c r="B54" s="506"/>
      <c r="Q54" s="531"/>
      <c r="R54" s="531"/>
      <c r="S54" s="531"/>
      <c r="T54" s="376"/>
    </row>
    <row r="55" spans="1:22" s="374" customFormat="1" ht="33" customHeight="1" x14ac:dyDescent="0.2">
      <c r="A55" s="1034" t="s">
        <v>598</v>
      </c>
      <c r="B55" s="1000" t="s">
        <v>484</v>
      </c>
      <c r="C55" s="1208" t="s">
        <v>610</v>
      </c>
      <c r="D55" s="1064"/>
      <c r="E55" s="1176" t="s">
        <v>831</v>
      </c>
      <c r="F55" s="1177"/>
      <c r="G55" s="1177"/>
      <c r="H55" s="1178"/>
      <c r="I55" s="1179" t="s">
        <v>825</v>
      </c>
      <c r="J55" s="1180"/>
      <c r="K55" s="1180"/>
      <c r="L55" s="1181"/>
      <c r="M55" s="1190" t="s">
        <v>823</v>
      </c>
      <c r="N55" s="1180"/>
      <c r="O55" s="1180"/>
      <c r="P55" s="1181"/>
      <c r="Q55" s="531"/>
      <c r="R55" s="531"/>
      <c r="S55" s="531"/>
      <c r="T55" s="376"/>
    </row>
    <row r="56" spans="1:22" s="374" customFormat="1" ht="38.25" x14ac:dyDescent="0.2">
      <c r="A56" s="1035"/>
      <c r="B56" s="1036"/>
      <c r="C56" s="1245"/>
      <c r="D56" s="1246"/>
      <c r="E56" s="399" t="s">
        <v>635</v>
      </c>
      <c r="F56" s="401" t="s">
        <v>636</v>
      </c>
      <c r="G56" s="1203" t="s">
        <v>553</v>
      </c>
      <c r="H56" s="1204"/>
      <c r="I56" s="399" t="s">
        <v>635</v>
      </c>
      <c r="J56" s="401" t="s">
        <v>636</v>
      </c>
      <c r="K56" s="1203" t="s">
        <v>553</v>
      </c>
      <c r="L56" s="1204"/>
      <c r="M56" s="399" t="s">
        <v>635</v>
      </c>
      <c r="N56" s="401" t="s">
        <v>636</v>
      </c>
      <c r="O56" s="1203" t="s">
        <v>553</v>
      </c>
      <c r="P56" s="1204"/>
      <c r="Q56" s="531"/>
      <c r="R56" s="531"/>
      <c r="S56" s="531"/>
      <c r="T56" s="376"/>
      <c r="V56" s="332"/>
    </row>
    <row r="57" spans="1:22" s="374" customFormat="1" x14ac:dyDescent="0.2">
      <c r="A57" s="383" t="s">
        <v>6</v>
      </c>
      <c r="B57" s="767" t="s">
        <v>7</v>
      </c>
      <c r="C57" s="1247" t="s">
        <v>8</v>
      </c>
      <c r="D57" s="1248"/>
      <c r="E57" s="417">
        <v>4</v>
      </c>
      <c r="F57" s="408">
        <v>5</v>
      </c>
      <c r="G57" s="1004" t="s">
        <v>784</v>
      </c>
      <c r="H57" s="1005"/>
      <c r="I57" s="417">
        <v>7</v>
      </c>
      <c r="J57" s="408">
        <v>8</v>
      </c>
      <c r="K57" s="1004" t="s">
        <v>785</v>
      </c>
      <c r="L57" s="1005"/>
      <c r="M57" s="417" t="s">
        <v>463</v>
      </c>
      <c r="N57" s="408" t="s">
        <v>468</v>
      </c>
      <c r="O57" s="1004" t="s">
        <v>556</v>
      </c>
      <c r="P57" s="1005"/>
      <c r="Q57" s="531"/>
      <c r="R57" s="531"/>
      <c r="S57" s="531"/>
      <c r="T57" s="376"/>
    </row>
    <row r="58" spans="1:22" s="334" customFormat="1" ht="27.75" customHeight="1" x14ac:dyDescent="0.2">
      <c r="A58" s="475">
        <v>244</v>
      </c>
      <c r="B58" s="476">
        <v>1</v>
      </c>
      <c r="C58" s="1184" t="s">
        <v>687</v>
      </c>
      <c r="D58" s="1251"/>
      <c r="E58" s="465">
        <f>ROUNDUP(G58/6000,0)</f>
        <v>23</v>
      </c>
      <c r="F58" s="580">
        <f>IFERROR(ROUND(G58/E58,2),0)</f>
        <v>5892.55</v>
      </c>
      <c r="G58" s="1002">
        <f>Титульный!E73+Титульный!E74</f>
        <v>135528.60999999999</v>
      </c>
      <c r="H58" s="1003"/>
      <c r="I58" s="465">
        <f>ROUNDUP(K58/50000,0)</f>
        <v>2</v>
      </c>
      <c r="J58" s="580">
        <f>IFERROR(ROUND(K58/I58,2),0)</f>
        <v>45000</v>
      </c>
      <c r="K58" s="1002">
        <f>Титульный!F73+Титульный!F74</f>
        <v>90000</v>
      </c>
      <c r="L58" s="1003"/>
      <c r="M58" s="465">
        <f>ROUNDUP(O58/50000,0)</f>
        <v>2</v>
      </c>
      <c r="N58" s="580">
        <f>IFERROR(ROUND(O58/M58,2),0)</f>
        <v>45000</v>
      </c>
      <c r="O58" s="1002">
        <f>Титульный!G73+Титульный!G74</f>
        <v>90000</v>
      </c>
      <c r="P58" s="1003"/>
      <c r="Q58" s="523"/>
      <c r="R58" s="523"/>
      <c r="S58" s="523"/>
      <c r="T58" s="379"/>
    </row>
    <row r="59" spans="1:22" s="334" customFormat="1" ht="27.75" customHeight="1" x14ac:dyDescent="0.2">
      <c r="A59" s="452">
        <v>244</v>
      </c>
      <c r="B59" s="451">
        <v>2</v>
      </c>
      <c r="C59" s="1186" t="s">
        <v>688</v>
      </c>
      <c r="D59" s="1244"/>
      <c r="E59" s="465"/>
      <c r="F59" s="580"/>
      <c r="G59" s="1238">
        <f t="shared" ref="G59:G95" si="3">E59*F59</f>
        <v>0</v>
      </c>
      <c r="H59" s="1239"/>
      <c r="I59" s="465"/>
      <c r="J59" s="580"/>
      <c r="K59" s="1238">
        <f t="shared" ref="K59:K95" si="4">I59*J59</f>
        <v>0</v>
      </c>
      <c r="L59" s="1239"/>
      <c r="M59" s="465"/>
      <c r="N59" s="580"/>
      <c r="O59" s="1238">
        <f t="shared" ref="O59:O95" si="5">M59*N59</f>
        <v>0</v>
      </c>
      <c r="P59" s="1239"/>
      <c r="Q59" s="523"/>
      <c r="R59" s="523"/>
      <c r="S59" s="523"/>
      <c r="T59" s="379"/>
    </row>
    <row r="60" spans="1:22" s="334" customFormat="1" ht="27.75" customHeight="1" x14ac:dyDescent="0.2">
      <c r="A60" s="452">
        <v>244</v>
      </c>
      <c r="B60" s="451">
        <v>3</v>
      </c>
      <c r="C60" s="1186" t="s">
        <v>689</v>
      </c>
      <c r="D60" s="1244"/>
      <c r="E60" s="465">
        <v>12</v>
      </c>
      <c r="F60" s="580">
        <f>G60/E60</f>
        <v>1480.3333333333333</v>
      </c>
      <c r="G60" s="1238">
        <v>17764</v>
      </c>
      <c r="H60" s="1239"/>
      <c r="I60" s="465"/>
      <c r="J60" s="580"/>
      <c r="K60" s="1238">
        <f t="shared" si="4"/>
        <v>0</v>
      </c>
      <c r="L60" s="1239"/>
      <c r="M60" s="465"/>
      <c r="N60" s="580"/>
      <c r="O60" s="1238">
        <f t="shared" si="5"/>
        <v>0</v>
      </c>
      <c r="P60" s="1239"/>
      <c r="Q60" s="523"/>
      <c r="R60" s="523"/>
      <c r="S60" s="523"/>
      <c r="T60" s="379"/>
    </row>
    <row r="61" spans="1:22" s="334" customFormat="1" ht="27.75" customHeight="1" x14ac:dyDescent="0.2">
      <c r="A61" s="452">
        <v>244</v>
      </c>
      <c r="B61" s="451">
        <v>4</v>
      </c>
      <c r="C61" s="1186" t="s">
        <v>690</v>
      </c>
      <c r="D61" s="1244"/>
      <c r="E61" s="465">
        <v>2</v>
      </c>
      <c r="F61" s="712">
        <f>G61/E61</f>
        <v>5813</v>
      </c>
      <c r="G61" s="1238">
        <v>11626</v>
      </c>
      <c r="H61" s="1239"/>
      <c r="I61" s="465"/>
      <c r="J61" s="580"/>
      <c r="K61" s="1238">
        <f t="shared" si="4"/>
        <v>0</v>
      </c>
      <c r="L61" s="1239"/>
      <c r="M61" s="465"/>
      <c r="N61" s="580"/>
      <c r="O61" s="1238">
        <f t="shared" si="5"/>
        <v>0</v>
      </c>
      <c r="P61" s="1239"/>
      <c r="Q61" s="523"/>
      <c r="R61" s="523"/>
      <c r="S61" s="523"/>
      <c r="T61" s="379"/>
    </row>
    <row r="62" spans="1:22" s="334" customFormat="1" ht="27.75" customHeight="1" x14ac:dyDescent="0.2">
      <c r="A62" s="452">
        <v>244</v>
      </c>
      <c r="B62" s="451">
        <v>5</v>
      </c>
      <c r="C62" s="1186" t="s">
        <v>691</v>
      </c>
      <c r="D62" s="1244"/>
      <c r="E62" s="465">
        <v>1</v>
      </c>
      <c r="F62" s="712">
        <f>G62/E62</f>
        <v>6270</v>
      </c>
      <c r="G62" s="1238">
        <v>6270</v>
      </c>
      <c r="H62" s="1239"/>
      <c r="I62" s="465"/>
      <c r="J62" s="580"/>
      <c r="K62" s="1238">
        <f t="shared" si="4"/>
        <v>0</v>
      </c>
      <c r="L62" s="1239"/>
      <c r="M62" s="465"/>
      <c r="N62" s="580"/>
      <c r="O62" s="1238">
        <f t="shared" si="5"/>
        <v>0</v>
      </c>
      <c r="P62" s="1239"/>
      <c r="Q62" s="523"/>
      <c r="R62" s="523"/>
      <c r="S62" s="523"/>
      <c r="T62" s="379"/>
    </row>
    <row r="63" spans="1:22" s="334" customFormat="1" ht="27.75" customHeight="1" x14ac:dyDescent="0.2">
      <c r="A63" s="452">
        <v>244</v>
      </c>
      <c r="B63" s="451">
        <v>6</v>
      </c>
      <c r="C63" s="1186" t="s">
        <v>692</v>
      </c>
      <c r="D63" s="1244"/>
      <c r="E63" s="465">
        <v>24</v>
      </c>
      <c r="F63" s="712">
        <f>G63/E63</f>
        <v>624.79166666666663</v>
      </c>
      <c r="G63" s="1238">
        <v>14995</v>
      </c>
      <c r="H63" s="1239"/>
      <c r="I63" s="465"/>
      <c r="J63" s="580"/>
      <c r="K63" s="1238">
        <f t="shared" si="4"/>
        <v>0</v>
      </c>
      <c r="L63" s="1239"/>
      <c r="M63" s="465"/>
      <c r="N63" s="580"/>
      <c r="O63" s="1238">
        <f t="shared" si="5"/>
        <v>0</v>
      </c>
      <c r="P63" s="1239"/>
      <c r="Q63" s="523"/>
      <c r="R63" s="523"/>
      <c r="S63" s="523"/>
      <c r="T63" s="379"/>
    </row>
    <row r="64" spans="1:22" s="334" customFormat="1" ht="27.75" customHeight="1" x14ac:dyDescent="0.2">
      <c r="A64" s="452">
        <v>244</v>
      </c>
      <c r="B64" s="451">
        <v>7</v>
      </c>
      <c r="C64" s="1186" t="s">
        <v>693</v>
      </c>
      <c r="D64" s="1244"/>
      <c r="E64" s="465"/>
      <c r="F64" s="580"/>
      <c r="G64" s="1238">
        <f t="shared" si="3"/>
        <v>0</v>
      </c>
      <c r="H64" s="1239"/>
      <c r="I64" s="465"/>
      <c r="J64" s="580"/>
      <c r="K64" s="1238">
        <f t="shared" si="4"/>
        <v>0</v>
      </c>
      <c r="L64" s="1239"/>
      <c r="M64" s="465"/>
      <c r="N64" s="580"/>
      <c r="O64" s="1238">
        <f t="shared" si="5"/>
        <v>0</v>
      </c>
      <c r="P64" s="1239"/>
      <c r="Q64" s="523"/>
      <c r="R64" s="523"/>
      <c r="S64" s="523"/>
      <c r="T64" s="379"/>
    </row>
    <row r="65" spans="1:20" s="334" customFormat="1" ht="27.75" customHeight="1" x14ac:dyDescent="0.2">
      <c r="A65" s="452">
        <v>244</v>
      </c>
      <c r="B65" s="451">
        <v>8</v>
      </c>
      <c r="C65" s="1186" t="s">
        <v>694</v>
      </c>
      <c r="D65" s="1244"/>
      <c r="E65" s="465"/>
      <c r="F65" s="580"/>
      <c r="G65" s="1238">
        <f t="shared" si="3"/>
        <v>0</v>
      </c>
      <c r="H65" s="1239"/>
      <c r="I65" s="465"/>
      <c r="J65" s="580"/>
      <c r="K65" s="1238">
        <f t="shared" si="4"/>
        <v>0</v>
      </c>
      <c r="L65" s="1239"/>
      <c r="M65" s="465"/>
      <c r="N65" s="580"/>
      <c r="O65" s="1238">
        <f t="shared" si="5"/>
        <v>0</v>
      </c>
      <c r="P65" s="1239"/>
      <c r="Q65" s="523"/>
      <c r="R65" s="523"/>
      <c r="S65" s="523"/>
      <c r="T65" s="379"/>
    </row>
    <row r="66" spans="1:20" s="334" customFormat="1" ht="27.75" customHeight="1" x14ac:dyDescent="0.2">
      <c r="A66" s="452">
        <v>244</v>
      </c>
      <c r="B66" s="451">
        <v>9</v>
      </c>
      <c r="C66" s="1186" t="s">
        <v>695</v>
      </c>
      <c r="D66" s="1244"/>
      <c r="E66" s="465"/>
      <c r="F66" s="580"/>
      <c r="G66" s="1238">
        <f t="shared" si="3"/>
        <v>0</v>
      </c>
      <c r="H66" s="1239"/>
      <c r="I66" s="465"/>
      <c r="J66" s="580"/>
      <c r="K66" s="1238">
        <f t="shared" si="4"/>
        <v>0</v>
      </c>
      <c r="L66" s="1239"/>
      <c r="M66" s="465"/>
      <c r="N66" s="580"/>
      <c r="O66" s="1238">
        <f t="shared" si="5"/>
        <v>0</v>
      </c>
      <c r="P66" s="1239"/>
      <c r="Q66" s="523"/>
      <c r="R66" s="523"/>
      <c r="S66" s="523"/>
      <c r="T66" s="379"/>
    </row>
    <row r="67" spans="1:20" s="334" customFormat="1" ht="27.75" customHeight="1" x14ac:dyDescent="0.2">
      <c r="A67" s="452">
        <v>244</v>
      </c>
      <c r="B67" s="451">
        <v>10</v>
      </c>
      <c r="C67" s="1186" t="s">
        <v>696</v>
      </c>
      <c r="D67" s="1244"/>
      <c r="E67" s="465"/>
      <c r="F67" s="580"/>
      <c r="G67" s="1238">
        <f t="shared" si="3"/>
        <v>0</v>
      </c>
      <c r="H67" s="1239"/>
      <c r="I67" s="465"/>
      <c r="J67" s="580"/>
      <c r="K67" s="1238">
        <f t="shared" si="4"/>
        <v>0</v>
      </c>
      <c r="L67" s="1239"/>
      <c r="M67" s="465"/>
      <c r="N67" s="580"/>
      <c r="O67" s="1238">
        <f t="shared" si="5"/>
        <v>0</v>
      </c>
      <c r="P67" s="1239"/>
      <c r="Q67" s="523"/>
      <c r="R67" s="523"/>
      <c r="S67" s="523"/>
      <c r="T67" s="379"/>
    </row>
    <row r="68" spans="1:20" s="334" customFormat="1" ht="27.75" customHeight="1" x14ac:dyDescent="0.2">
      <c r="A68" s="452">
        <v>244</v>
      </c>
      <c r="B68" s="451">
        <v>11</v>
      </c>
      <c r="C68" s="1186" t="s">
        <v>697</v>
      </c>
      <c r="D68" s="1244"/>
      <c r="E68" s="465"/>
      <c r="F68" s="580"/>
      <c r="G68" s="1238">
        <f t="shared" si="3"/>
        <v>0</v>
      </c>
      <c r="H68" s="1239"/>
      <c r="I68" s="465"/>
      <c r="J68" s="580"/>
      <c r="K68" s="1238">
        <f t="shared" si="4"/>
        <v>0</v>
      </c>
      <c r="L68" s="1239"/>
      <c r="M68" s="465"/>
      <c r="N68" s="580"/>
      <c r="O68" s="1238">
        <f t="shared" si="5"/>
        <v>0</v>
      </c>
      <c r="P68" s="1239"/>
      <c r="Q68" s="523"/>
      <c r="R68" s="523"/>
      <c r="S68" s="523"/>
      <c r="T68" s="379"/>
    </row>
    <row r="69" spans="1:20" s="334" customFormat="1" ht="27.75" customHeight="1" x14ac:dyDescent="0.2">
      <c r="A69" s="452">
        <v>244</v>
      </c>
      <c r="B69" s="451">
        <v>12</v>
      </c>
      <c r="C69" s="1186" t="s">
        <v>698</v>
      </c>
      <c r="D69" s="1244"/>
      <c r="E69" s="465">
        <v>12</v>
      </c>
      <c r="F69" s="580">
        <v>1800</v>
      </c>
      <c r="G69" s="1238">
        <f t="shared" si="3"/>
        <v>21600</v>
      </c>
      <c r="H69" s="1239"/>
      <c r="I69" s="465"/>
      <c r="J69" s="580"/>
      <c r="K69" s="1238">
        <f t="shared" si="4"/>
        <v>0</v>
      </c>
      <c r="L69" s="1239"/>
      <c r="M69" s="465"/>
      <c r="N69" s="580"/>
      <c r="O69" s="1238">
        <f t="shared" si="5"/>
        <v>0</v>
      </c>
      <c r="P69" s="1239"/>
      <c r="Q69" s="523"/>
      <c r="R69" s="523"/>
      <c r="S69" s="523"/>
      <c r="T69" s="379"/>
    </row>
    <row r="70" spans="1:20" s="334" customFormat="1" ht="27.75" customHeight="1" x14ac:dyDescent="0.2">
      <c r="A70" s="452">
        <v>244</v>
      </c>
      <c r="B70" s="451">
        <v>13</v>
      </c>
      <c r="C70" s="1186" t="s">
        <v>699</v>
      </c>
      <c r="D70" s="1244"/>
      <c r="E70" s="465">
        <v>12</v>
      </c>
      <c r="F70" s="580">
        <v>400</v>
      </c>
      <c r="G70" s="1238">
        <f t="shared" si="3"/>
        <v>4800</v>
      </c>
      <c r="H70" s="1239"/>
      <c r="I70" s="465"/>
      <c r="J70" s="580"/>
      <c r="K70" s="1238">
        <f t="shared" si="4"/>
        <v>0</v>
      </c>
      <c r="L70" s="1239"/>
      <c r="M70" s="465"/>
      <c r="N70" s="580"/>
      <c r="O70" s="1238">
        <f t="shared" si="5"/>
        <v>0</v>
      </c>
      <c r="P70" s="1239"/>
      <c r="Q70" s="523"/>
      <c r="R70" s="523"/>
      <c r="S70" s="523"/>
      <c r="T70" s="379"/>
    </row>
    <row r="71" spans="1:20" s="334" customFormat="1" ht="27.75" customHeight="1" x14ac:dyDescent="0.2">
      <c r="A71" s="452">
        <v>244</v>
      </c>
      <c r="B71" s="451">
        <v>14</v>
      </c>
      <c r="C71" s="1186" t="s">
        <v>700</v>
      </c>
      <c r="D71" s="1244"/>
      <c r="E71" s="465">
        <v>12</v>
      </c>
      <c r="F71" s="580">
        <v>3000</v>
      </c>
      <c r="G71" s="1238">
        <f t="shared" si="3"/>
        <v>36000</v>
      </c>
      <c r="H71" s="1239"/>
      <c r="I71" s="465"/>
      <c r="J71" s="580"/>
      <c r="K71" s="1238">
        <f t="shared" si="4"/>
        <v>0</v>
      </c>
      <c r="L71" s="1239"/>
      <c r="M71" s="465"/>
      <c r="N71" s="580"/>
      <c r="O71" s="1238">
        <f t="shared" si="5"/>
        <v>0</v>
      </c>
      <c r="P71" s="1239"/>
      <c r="Q71" s="523"/>
      <c r="R71" s="523"/>
      <c r="S71" s="523"/>
      <c r="T71" s="379"/>
    </row>
    <row r="72" spans="1:20" s="334" customFormat="1" ht="27.75" customHeight="1" x14ac:dyDescent="0.2">
      <c r="A72" s="452">
        <v>244</v>
      </c>
      <c r="B72" s="451">
        <v>15</v>
      </c>
      <c r="C72" s="1186" t="s">
        <v>701</v>
      </c>
      <c r="D72" s="1244"/>
      <c r="E72" s="465">
        <v>26</v>
      </c>
      <c r="F72" s="580">
        <v>550</v>
      </c>
      <c r="G72" s="1238">
        <f t="shared" si="3"/>
        <v>14300</v>
      </c>
      <c r="H72" s="1239"/>
      <c r="I72" s="465"/>
      <c r="J72" s="580"/>
      <c r="K72" s="1238">
        <f t="shared" si="4"/>
        <v>0</v>
      </c>
      <c r="L72" s="1239"/>
      <c r="M72" s="465"/>
      <c r="N72" s="580"/>
      <c r="O72" s="1238">
        <f t="shared" si="5"/>
        <v>0</v>
      </c>
      <c r="P72" s="1239"/>
      <c r="Q72" s="523"/>
      <c r="R72" s="523"/>
      <c r="S72" s="523"/>
      <c r="T72" s="379"/>
    </row>
    <row r="73" spans="1:20" s="334" customFormat="1" ht="27.75" customHeight="1" x14ac:dyDescent="0.2">
      <c r="A73" s="452">
        <v>244</v>
      </c>
      <c r="B73" s="451">
        <v>16</v>
      </c>
      <c r="C73" s="1186" t="s">
        <v>702</v>
      </c>
      <c r="D73" s="1244"/>
      <c r="E73" s="465"/>
      <c r="F73" s="580"/>
      <c r="G73" s="1238">
        <f t="shared" si="3"/>
        <v>0</v>
      </c>
      <c r="H73" s="1239"/>
      <c r="I73" s="465"/>
      <c r="J73" s="580"/>
      <c r="K73" s="1238">
        <f t="shared" si="4"/>
        <v>0</v>
      </c>
      <c r="L73" s="1239"/>
      <c r="M73" s="465"/>
      <c r="N73" s="580"/>
      <c r="O73" s="1238">
        <f t="shared" si="5"/>
        <v>0</v>
      </c>
      <c r="P73" s="1239"/>
      <c r="Q73" s="523"/>
      <c r="R73" s="523"/>
      <c r="S73" s="523"/>
      <c r="T73" s="379"/>
    </row>
    <row r="74" spans="1:20" s="334" customFormat="1" ht="27.75" customHeight="1" x14ac:dyDescent="0.2">
      <c r="A74" s="452">
        <v>244</v>
      </c>
      <c r="B74" s="451">
        <v>17</v>
      </c>
      <c r="C74" s="1186" t="s">
        <v>703</v>
      </c>
      <c r="D74" s="1244"/>
      <c r="E74" s="465"/>
      <c r="F74" s="580"/>
      <c r="G74" s="1238">
        <f t="shared" si="3"/>
        <v>0</v>
      </c>
      <c r="H74" s="1239"/>
      <c r="I74" s="465"/>
      <c r="J74" s="580"/>
      <c r="K74" s="1238">
        <f t="shared" si="4"/>
        <v>0</v>
      </c>
      <c r="L74" s="1239"/>
      <c r="M74" s="465"/>
      <c r="N74" s="580"/>
      <c r="O74" s="1238">
        <f t="shared" si="5"/>
        <v>0</v>
      </c>
      <c r="P74" s="1239"/>
      <c r="Q74" s="523"/>
      <c r="R74" s="523"/>
      <c r="S74" s="523"/>
      <c r="T74" s="379"/>
    </row>
    <row r="75" spans="1:20" s="334" customFormat="1" ht="27.75" customHeight="1" x14ac:dyDescent="0.2">
      <c r="A75" s="452">
        <v>244</v>
      </c>
      <c r="B75" s="451">
        <v>18</v>
      </c>
      <c r="C75" s="1186" t="s">
        <v>704</v>
      </c>
      <c r="D75" s="1244"/>
      <c r="E75" s="465"/>
      <c r="F75" s="580"/>
      <c r="G75" s="1238">
        <f t="shared" si="3"/>
        <v>0</v>
      </c>
      <c r="H75" s="1239"/>
      <c r="I75" s="465"/>
      <c r="J75" s="580"/>
      <c r="K75" s="1238">
        <f t="shared" si="4"/>
        <v>0</v>
      </c>
      <c r="L75" s="1239"/>
      <c r="M75" s="465"/>
      <c r="N75" s="580"/>
      <c r="O75" s="1238">
        <f t="shared" si="5"/>
        <v>0</v>
      </c>
      <c r="P75" s="1239"/>
      <c r="Q75" s="523"/>
      <c r="R75" s="523"/>
      <c r="S75" s="523"/>
      <c r="T75" s="379"/>
    </row>
    <row r="76" spans="1:20" s="334" customFormat="1" ht="27.75" customHeight="1" x14ac:dyDescent="0.2">
      <c r="A76" s="452">
        <v>244</v>
      </c>
      <c r="B76" s="451">
        <v>19</v>
      </c>
      <c r="C76" s="1186" t="s">
        <v>705</v>
      </c>
      <c r="D76" s="1244"/>
      <c r="E76" s="465">
        <v>50</v>
      </c>
      <c r="F76" s="712">
        <f>G76/E76</f>
        <v>235.3</v>
      </c>
      <c r="G76" s="1238">
        <v>11765</v>
      </c>
      <c r="H76" s="1239"/>
      <c r="I76" s="465"/>
      <c r="J76" s="580"/>
      <c r="K76" s="1238">
        <f t="shared" si="4"/>
        <v>0</v>
      </c>
      <c r="L76" s="1239"/>
      <c r="M76" s="465"/>
      <c r="N76" s="580"/>
      <c r="O76" s="1238">
        <f t="shared" si="5"/>
        <v>0</v>
      </c>
      <c r="P76" s="1239"/>
      <c r="Q76" s="523"/>
      <c r="R76" s="523"/>
      <c r="S76" s="523"/>
      <c r="T76" s="379"/>
    </row>
    <row r="77" spans="1:20" s="334" customFormat="1" ht="27.75" customHeight="1" x14ac:dyDescent="0.2">
      <c r="A77" s="452">
        <v>244</v>
      </c>
      <c r="B77" s="451">
        <v>20</v>
      </c>
      <c r="C77" s="1186" t="s">
        <v>706</v>
      </c>
      <c r="D77" s="1244"/>
      <c r="E77" s="465">
        <v>12</v>
      </c>
      <c r="F77" s="580">
        <v>7334</v>
      </c>
      <c r="G77" s="1238">
        <f t="shared" si="3"/>
        <v>88008</v>
      </c>
      <c r="H77" s="1239"/>
      <c r="I77" s="465"/>
      <c r="J77" s="580"/>
      <c r="K77" s="1238">
        <f t="shared" si="4"/>
        <v>0</v>
      </c>
      <c r="L77" s="1239"/>
      <c r="M77" s="465"/>
      <c r="N77" s="580"/>
      <c r="O77" s="1238">
        <f t="shared" si="5"/>
        <v>0</v>
      </c>
      <c r="P77" s="1239"/>
      <c r="Q77" s="523"/>
      <c r="R77" s="523"/>
      <c r="S77" s="523"/>
      <c r="T77" s="379"/>
    </row>
    <row r="78" spans="1:20" s="334" customFormat="1" ht="27.75" customHeight="1" x14ac:dyDescent="0.2">
      <c r="A78" s="452">
        <v>244</v>
      </c>
      <c r="B78" s="451">
        <v>21</v>
      </c>
      <c r="C78" s="1186" t="s">
        <v>707</v>
      </c>
      <c r="D78" s="1244"/>
      <c r="E78" s="465"/>
      <c r="F78" s="580"/>
      <c r="G78" s="1238">
        <f t="shared" si="3"/>
        <v>0</v>
      </c>
      <c r="H78" s="1239"/>
      <c r="I78" s="465"/>
      <c r="J78" s="580"/>
      <c r="K78" s="1238">
        <f t="shared" si="4"/>
        <v>0</v>
      </c>
      <c r="L78" s="1239"/>
      <c r="M78" s="465"/>
      <c r="N78" s="580"/>
      <c r="O78" s="1238">
        <f t="shared" si="5"/>
        <v>0</v>
      </c>
      <c r="P78" s="1239"/>
      <c r="Q78" s="523"/>
      <c r="R78" s="523"/>
      <c r="S78" s="523"/>
      <c r="T78" s="379"/>
    </row>
    <row r="79" spans="1:20" s="334" customFormat="1" ht="27.75" customHeight="1" x14ac:dyDescent="0.2">
      <c r="A79" s="452">
        <v>244</v>
      </c>
      <c r="B79" s="451">
        <v>22</v>
      </c>
      <c r="C79" s="1186" t="s">
        <v>708</v>
      </c>
      <c r="D79" s="1244"/>
      <c r="E79" s="465"/>
      <c r="F79" s="580"/>
      <c r="G79" s="1238">
        <f t="shared" si="3"/>
        <v>0</v>
      </c>
      <c r="H79" s="1239"/>
      <c r="I79" s="465"/>
      <c r="J79" s="580"/>
      <c r="K79" s="1238">
        <f t="shared" si="4"/>
        <v>0</v>
      </c>
      <c r="L79" s="1239"/>
      <c r="M79" s="465"/>
      <c r="N79" s="580"/>
      <c r="O79" s="1238">
        <f t="shared" si="5"/>
        <v>0</v>
      </c>
      <c r="P79" s="1239"/>
      <c r="Q79" s="523"/>
      <c r="R79" s="523"/>
      <c r="S79" s="523"/>
      <c r="T79" s="379"/>
    </row>
    <row r="80" spans="1:20" s="334" customFormat="1" ht="27.75" customHeight="1" x14ac:dyDescent="0.2">
      <c r="A80" s="452">
        <v>244</v>
      </c>
      <c r="B80" s="451">
        <v>23</v>
      </c>
      <c r="C80" s="1186" t="s">
        <v>709</v>
      </c>
      <c r="D80" s="1244"/>
      <c r="E80" s="465"/>
      <c r="F80" s="580"/>
      <c r="G80" s="1238">
        <f t="shared" si="3"/>
        <v>0</v>
      </c>
      <c r="H80" s="1239"/>
      <c r="I80" s="465"/>
      <c r="J80" s="580"/>
      <c r="K80" s="1238">
        <f t="shared" si="4"/>
        <v>0</v>
      </c>
      <c r="L80" s="1239"/>
      <c r="M80" s="465"/>
      <c r="N80" s="580"/>
      <c r="O80" s="1238">
        <f t="shared" si="5"/>
        <v>0</v>
      </c>
      <c r="P80" s="1239"/>
      <c r="Q80" s="523"/>
      <c r="R80" s="523"/>
      <c r="S80" s="523"/>
      <c r="T80" s="379"/>
    </row>
    <row r="81" spans="1:20" s="334" customFormat="1" ht="27.75" customHeight="1" x14ac:dyDescent="0.2">
      <c r="A81" s="452">
        <v>244</v>
      </c>
      <c r="B81" s="451">
        <v>24</v>
      </c>
      <c r="C81" s="1186" t="s">
        <v>710</v>
      </c>
      <c r="D81" s="1244"/>
      <c r="E81" s="465"/>
      <c r="F81" s="580"/>
      <c r="G81" s="1238">
        <f t="shared" si="3"/>
        <v>0</v>
      </c>
      <c r="H81" s="1239"/>
      <c r="I81" s="465"/>
      <c r="J81" s="580"/>
      <c r="K81" s="1238">
        <f t="shared" si="4"/>
        <v>0</v>
      </c>
      <c r="L81" s="1239"/>
      <c r="M81" s="465"/>
      <c r="N81" s="580"/>
      <c r="O81" s="1238">
        <f t="shared" si="5"/>
        <v>0</v>
      </c>
      <c r="P81" s="1239"/>
      <c r="Q81" s="523"/>
      <c r="R81" s="523"/>
      <c r="S81" s="523"/>
      <c r="T81" s="379"/>
    </row>
    <row r="82" spans="1:20" s="334" customFormat="1" ht="27.75" customHeight="1" x14ac:dyDescent="0.2">
      <c r="A82" s="452">
        <v>244</v>
      </c>
      <c r="B82" s="451">
        <v>25</v>
      </c>
      <c r="C82" s="1186" t="s">
        <v>711</v>
      </c>
      <c r="D82" s="1244"/>
      <c r="E82" s="465"/>
      <c r="F82" s="580"/>
      <c r="G82" s="1238">
        <f t="shared" si="3"/>
        <v>0</v>
      </c>
      <c r="H82" s="1239"/>
      <c r="I82" s="465"/>
      <c r="J82" s="580"/>
      <c r="K82" s="1238">
        <f t="shared" si="4"/>
        <v>0</v>
      </c>
      <c r="L82" s="1239"/>
      <c r="M82" s="465"/>
      <c r="N82" s="580"/>
      <c r="O82" s="1238">
        <f t="shared" si="5"/>
        <v>0</v>
      </c>
      <c r="P82" s="1239"/>
      <c r="Q82" s="523"/>
      <c r="R82" s="523"/>
      <c r="S82" s="523"/>
      <c r="T82" s="379"/>
    </row>
    <row r="83" spans="1:20" s="334" customFormat="1" ht="27.75" customHeight="1" x14ac:dyDescent="0.2">
      <c r="A83" s="452">
        <v>244</v>
      </c>
      <c r="B83" s="451">
        <v>26</v>
      </c>
      <c r="C83" s="1186" t="s">
        <v>712</v>
      </c>
      <c r="D83" s="1244"/>
      <c r="E83" s="465"/>
      <c r="F83" s="580"/>
      <c r="G83" s="1238">
        <f t="shared" si="3"/>
        <v>0</v>
      </c>
      <c r="H83" s="1239"/>
      <c r="I83" s="465"/>
      <c r="J83" s="580"/>
      <c r="K83" s="1238">
        <f t="shared" si="4"/>
        <v>0</v>
      </c>
      <c r="L83" s="1239"/>
      <c r="M83" s="465"/>
      <c r="N83" s="580"/>
      <c r="O83" s="1238">
        <f t="shared" si="5"/>
        <v>0</v>
      </c>
      <c r="P83" s="1239"/>
      <c r="Q83" s="523"/>
      <c r="R83" s="523"/>
      <c r="S83" s="523"/>
      <c r="T83" s="379"/>
    </row>
    <row r="84" spans="1:20" s="334" customFormat="1" ht="27.75" customHeight="1" x14ac:dyDescent="0.2">
      <c r="A84" s="452">
        <v>244</v>
      </c>
      <c r="B84" s="451">
        <v>27</v>
      </c>
      <c r="C84" s="1186" t="s">
        <v>713</v>
      </c>
      <c r="D84" s="1244"/>
      <c r="E84" s="465"/>
      <c r="F84" s="580"/>
      <c r="G84" s="1238">
        <f t="shared" si="3"/>
        <v>0</v>
      </c>
      <c r="H84" s="1239"/>
      <c r="I84" s="465"/>
      <c r="J84" s="580"/>
      <c r="K84" s="1238">
        <f t="shared" si="4"/>
        <v>0</v>
      </c>
      <c r="L84" s="1239"/>
      <c r="M84" s="465"/>
      <c r="N84" s="580"/>
      <c r="O84" s="1238">
        <f t="shared" si="5"/>
        <v>0</v>
      </c>
      <c r="P84" s="1239"/>
      <c r="Q84" s="523"/>
      <c r="R84" s="523"/>
      <c r="S84" s="523"/>
      <c r="T84" s="379"/>
    </row>
    <row r="85" spans="1:20" s="334" customFormat="1" ht="27.75" customHeight="1" x14ac:dyDescent="0.2">
      <c r="A85" s="452">
        <v>244</v>
      </c>
      <c r="B85" s="451">
        <v>28</v>
      </c>
      <c r="C85" s="1186" t="s">
        <v>714</v>
      </c>
      <c r="D85" s="1244"/>
      <c r="E85" s="465">
        <v>1</v>
      </c>
      <c r="F85" s="580">
        <v>8500</v>
      </c>
      <c r="G85" s="1238">
        <f t="shared" si="3"/>
        <v>8500</v>
      </c>
      <c r="H85" s="1239"/>
      <c r="I85" s="465"/>
      <c r="J85" s="580"/>
      <c r="K85" s="1238">
        <f t="shared" si="4"/>
        <v>0</v>
      </c>
      <c r="L85" s="1239"/>
      <c r="M85" s="465"/>
      <c r="N85" s="580"/>
      <c r="O85" s="1238">
        <f t="shared" si="5"/>
        <v>0</v>
      </c>
      <c r="P85" s="1239"/>
      <c r="Q85" s="523"/>
      <c r="R85" s="523"/>
      <c r="S85" s="523"/>
      <c r="T85" s="379"/>
    </row>
    <row r="86" spans="1:20" s="334" customFormat="1" ht="27.75" customHeight="1" x14ac:dyDescent="0.2">
      <c r="A86" s="452">
        <v>244</v>
      </c>
      <c r="B86" s="451">
        <v>29</v>
      </c>
      <c r="C86" s="1186" t="s">
        <v>715</v>
      </c>
      <c r="D86" s="1244"/>
      <c r="E86" s="465"/>
      <c r="F86" s="580"/>
      <c r="G86" s="1238">
        <f t="shared" si="3"/>
        <v>0</v>
      </c>
      <c r="H86" s="1239"/>
      <c r="I86" s="465"/>
      <c r="J86" s="580"/>
      <c r="K86" s="1238">
        <f t="shared" si="4"/>
        <v>0</v>
      </c>
      <c r="L86" s="1239"/>
      <c r="M86" s="465"/>
      <c r="N86" s="580"/>
      <c r="O86" s="1238">
        <f t="shared" si="5"/>
        <v>0</v>
      </c>
      <c r="P86" s="1239"/>
      <c r="Q86" s="523"/>
      <c r="R86" s="523"/>
      <c r="S86" s="523"/>
      <c r="T86" s="379"/>
    </row>
    <row r="87" spans="1:20" s="334" customFormat="1" ht="27.75" customHeight="1" x14ac:dyDescent="0.2">
      <c r="A87" s="452">
        <v>244</v>
      </c>
      <c r="B87" s="451">
        <v>30</v>
      </c>
      <c r="C87" s="1186" t="s">
        <v>716</v>
      </c>
      <c r="D87" s="1244"/>
      <c r="E87" s="465">
        <v>1</v>
      </c>
      <c r="F87" s="580">
        <v>12400</v>
      </c>
      <c r="G87" s="1238">
        <f t="shared" si="3"/>
        <v>12400</v>
      </c>
      <c r="H87" s="1239"/>
      <c r="I87" s="465"/>
      <c r="J87" s="580"/>
      <c r="K87" s="1238">
        <f t="shared" si="4"/>
        <v>0</v>
      </c>
      <c r="L87" s="1239"/>
      <c r="M87" s="465"/>
      <c r="N87" s="580"/>
      <c r="O87" s="1238">
        <f t="shared" si="5"/>
        <v>0</v>
      </c>
      <c r="P87" s="1239"/>
      <c r="Q87" s="523"/>
      <c r="R87" s="523"/>
      <c r="S87" s="523"/>
      <c r="T87" s="379"/>
    </row>
    <row r="88" spans="1:20" s="334" customFormat="1" ht="27.75" customHeight="1" x14ac:dyDescent="0.2">
      <c r="A88" s="452">
        <v>244</v>
      </c>
      <c r="B88" s="451">
        <v>31</v>
      </c>
      <c r="C88" s="1186" t="s">
        <v>717</v>
      </c>
      <c r="D88" s="1244"/>
      <c r="E88" s="465">
        <v>1</v>
      </c>
      <c r="F88" s="580">
        <v>18000</v>
      </c>
      <c r="G88" s="1238">
        <f t="shared" si="3"/>
        <v>18000</v>
      </c>
      <c r="H88" s="1239"/>
      <c r="I88" s="465"/>
      <c r="J88" s="580"/>
      <c r="K88" s="1238">
        <f t="shared" si="4"/>
        <v>0</v>
      </c>
      <c r="L88" s="1239"/>
      <c r="M88" s="465"/>
      <c r="N88" s="580"/>
      <c r="O88" s="1238">
        <f t="shared" si="5"/>
        <v>0</v>
      </c>
      <c r="P88" s="1239"/>
      <c r="Q88" s="523"/>
      <c r="R88" s="523"/>
      <c r="S88" s="523"/>
      <c r="T88" s="379"/>
    </row>
    <row r="89" spans="1:20" s="334" customFormat="1" ht="27.75" customHeight="1" x14ac:dyDescent="0.2">
      <c r="A89" s="452">
        <v>244</v>
      </c>
      <c r="B89" s="451">
        <v>32</v>
      </c>
      <c r="C89" s="1186" t="s">
        <v>718</v>
      </c>
      <c r="D89" s="1244"/>
      <c r="E89" s="465">
        <v>1</v>
      </c>
      <c r="F89" s="580">
        <v>1800</v>
      </c>
      <c r="G89" s="1238">
        <f t="shared" si="3"/>
        <v>1800</v>
      </c>
      <c r="H89" s="1239"/>
      <c r="I89" s="465"/>
      <c r="J89" s="580"/>
      <c r="K89" s="1238">
        <f t="shared" si="4"/>
        <v>0</v>
      </c>
      <c r="L89" s="1239"/>
      <c r="M89" s="465"/>
      <c r="N89" s="580"/>
      <c r="O89" s="1238">
        <f t="shared" si="5"/>
        <v>0</v>
      </c>
      <c r="P89" s="1239"/>
      <c r="Q89" s="523"/>
      <c r="R89" s="523"/>
      <c r="S89" s="523"/>
      <c r="T89" s="379"/>
    </row>
    <row r="90" spans="1:20" s="334" customFormat="1" ht="27.75" customHeight="1" x14ac:dyDescent="0.2">
      <c r="A90" s="452">
        <v>244</v>
      </c>
      <c r="B90" s="451">
        <v>33</v>
      </c>
      <c r="C90" s="1186" t="s">
        <v>719</v>
      </c>
      <c r="D90" s="1244"/>
      <c r="E90" s="465"/>
      <c r="F90" s="580"/>
      <c r="G90" s="1238">
        <f t="shared" si="3"/>
        <v>0</v>
      </c>
      <c r="H90" s="1239"/>
      <c r="I90" s="465"/>
      <c r="J90" s="580"/>
      <c r="K90" s="1238">
        <f t="shared" si="4"/>
        <v>0</v>
      </c>
      <c r="L90" s="1239"/>
      <c r="M90" s="465"/>
      <c r="N90" s="580"/>
      <c r="O90" s="1238">
        <f t="shared" si="5"/>
        <v>0</v>
      </c>
      <c r="P90" s="1239"/>
      <c r="Q90" s="523"/>
      <c r="R90" s="523"/>
      <c r="S90" s="523"/>
      <c r="T90" s="379"/>
    </row>
    <row r="91" spans="1:20" s="334" customFormat="1" ht="27.75" customHeight="1" x14ac:dyDescent="0.2">
      <c r="A91" s="452">
        <v>244</v>
      </c>
      <c r="B91" s="451">
        <v>34</v>
      </c>
      <c r="C91" s="1186" t="s">
        <v>720</v>
      </c>
      <c r="D91" s="1244"/>
      <c r="E91" s="465">
        <v>1</v>
      </c>
      <c r="F91" s="580">
        <v>26000</v>
      </c>
      <c r="G91" s="1238">
        <f t="shared" si="3"/>
        <v>26000</v>
      </c>
      <c r="H91" s="1239"/>
      <c r="I91" s="465"/>
      <c r="J91" s="580"/>
      <c r="K91" s="1238">
        <f t="shared" si="4"/>
        <v>0</v>
      </c>
      <c r="L91" s="1239"/>
      <c r="M91" s="465"/>
      <c r="N91" s="580"/>
      <c r="O91" s="1238">
        <f t="shared" si="5"/>
        <v>0</v>
      </c>
      <c r="P91" s="1239"/>
      <c r="Q91" s="523"/>
      <c r="R91" s="523"/>
      <c r="S91" s="523"/>
      <c r="T91" s="379"/>
    </row>
    <row r="92" spans="1:20" s="334" customFormat="1" ht="27.75" customHeight="1" x14ac:dyDescent="0.2">
      <c r="A92" s="452">
        <v>244</v>
      </c>
      <c r="B92" s="451">
        <v>35</v>
      </c>
      <c r="C92" s="1186" t="s">
        <v>721</v>
      </c>
      <c r="D92" s="1244"/>
      <c r="E92" s="465"/>
      <c r="F92" s="580"/>
      <c r="G92" s="1238">
        <f t="shared" si="3"/>
        <v>0</v>
      </c>
      <c r="H92" s="1239"/>
      <c r="I92" s="465"/>
      <c r="J92" s="580"/>
      <c r="K92" s="1238">
        <f t="shared" si="4"/>
        <v>0</v>
      </c>
      <c r="L92" s="1239"/>
      <c r="M92" s="465"/>
      <c r="N92" s="580"/>
      <c r="O92" s="1238">
        <f t="shared" si="5"/>
        <v>0</v>
      </c>
      <c r="P92" s="1239"/>
      <c r="Q92" s="523"/>
      <c r="R92" s="523"/>
      <c r="S92" s="523"/>
      <c r="T92" s="379"/>
    </row>
    <row r="93" spans="1:20" s="334" customFormat="1" ht="27.75" customHeight="1" x14ac:dyDescent="0.2">
      <c r="A93" s="452">
        <v>244</v>
      </c>
      <c r="B93" s="451">
        <v>36</v>
      </c>
      <c r="C93" s="1186" t="s">
        <v>722</v>
      </c>
      <c r="D93" s="1244"/>
      <c r="E93" s="465"/>
      <c r="F93" s="580"/>
      <c r="G93" s="1238">
        <f t="shared" si="3"/>
        <v>0</v>
      </c>
      <c r="H93" s="1239"/>
      <c r="I93" s="465"/>
      <c r="J93" s="580"/>
      <c r="K93" s="1238">
        <f t="shared" si="4"/>
        <v>0</v>
      </c>
      <c r="L93" s="1239"/>
      <c r="M93" s="465"/>
      <c r="N93" s="580"/>
      <c r="O93" s="1238">
        <f t="shared" si="5"/>
        <v>0</v>
      </c>
      <c r="P93" s="1239"/>
      <c r="Q93" s="523"/>
      <c r="R93" s="523"/>
      <c r="S93" s="523"/>
      <c r="T93" s="379"/>
    </row>
    <row r="94" spans="1:20" s="334" customFormat="1" ht="27.75" customHeight="1" x14ac:dyDescent="0.2">
      <c r="A94" s="452">
        <v>244</v>
      </c>
      <c r="B94" s="451">
        <v>37</v>
      </c>
      <c r="C94" s="1186" t="s">
        <v>723</v>
      </c>
      <c r="D94" s="1244"/>
      <c r="E94" s="465"/>
      <c r="F94" s="580"/>
      <c r="G94" s="1238">
        <f t="shared" si="3"/>
        <v>0</v>
      </c>
      <c r="H94" s="1239"/>
      <c r="I94" s="465"/>
      <c r="J94" s="580"/>
      <c r="K94" s="1238">
        <f t="shared" si="4"/>
        <v>0</v>
      </c>
      <c r="L94" s="1239"/>
      <c r="M94" s="465"/>
      <c r="N94" s="580"/>
      <c r="O94" s="1238">
        <f t="shared" si="5"/>
        <v>0</v>
      </c>
      <c r="P94" s="1239"/>
      <c r="Q94" s="523"/>
      <c r="R94" s="523"/>
      <c r="S94" s="523"/>
      <c r="T94" s="379"/>
    </row>
    <row r="95" spans="1:20" s="334" customFormat="1" ht="27.75" customHeight="1" x14ac:dyDescent="0.2">
      <c r="A95" s="452">
        <v>244</v>
      </c>
      <c r="B95" s="451">
        <v>38</v>
      </c>
      <c r="C95" s="1186" t="s">
        <v>724</v>
      </c>
      <c r="D95" s="1244"/>
      <c r="E95" s="465"/>
      <c r="F95" s="580"/>
      <c r="G95" s="1238">
        <f t="shared" si="3"/>
        <v>0</v>
      </c>
      <c r="H95" s="1239"/>
      <c r="I95" s="465"/>
      <c r="J95" s="580"/>
      <c r="K95" s="1238">
        <f t="shared" si="4"/>
        <v>0</v>
      </c>
      <c r="L95" s="1239"/>
      <c r="M95" s="465"/>
      <c r="N95" s="580"/>
      <c r="O95" s="1238">
        <f t="shared" si="5"/>
        <v>0</v>
      </c>
      <c r="P95" s="1239"/>
      <c r="Q95" s="523"/>
      <c r="R95" s="523"/>
      <c r="S95" s="523"/>
      <c r="T95" s="379"/>
    </row>
    <row r="96" spans="1:20" s="334" customFormat="1" ht="27.75" customHeight="1" x14ac:dyDescent="0.2">
      <c r="A96" s="452">
        <v>244</v>
      </c>
      <c r="B96" s="451">
        <v>39</v>
      </c>
      <c r="C96" s="1186" t="s">
        <v>725</v>
      </c>
      <c r="D96" s="1244"/>
      <c r="E96" s="465">
        <v>25</v>
      </c>
      <c r="F96" s="580">
        <f>ROUND(G96/E96,2)</f>
        <v>2735.2</v>
      </c>
      <c r="G96" s="1238">
        <f>Титульный!E72</f>
        <v>68380</v>
      </c>
      <c r="H96" s="1239"/>
      <c r="I96" s="465">
        <v>24</v>
      </c>
      <c r="J96" s="580">
        <f>ROUND(K96/I96,2)</f>
        <v>2849.17</v>
      </c>
      <c r="K96" s="1238">
        <f>Титульный!F72</f>
        <v>68380</v>
      </c>
      <c r="L96" s="1239"/>
      <c r="M96" s="465">
        <v>24</v>
      </c>
      <c r="N96" s="580">
        <f>ROUND(O96/M96,2)</f>
        <v>2849.17</v>
      </c>
      <c r="O96" s="1238">
        <f>Титульный!G72</f>
        <v>68380</v>
      </c>
      <c r="P96" s="1239"/>
      <c r="Q96" s="523"/>
      <c r="R96" s="523"/>
      <c r="S96" s="523"/>
      <c r="T96" s="379"/>
    </row>
    <row r="97" spans="1:20" s="334" customFormat="1" ht="27.75" customHeight="1" x14ac:dyDescent="0.2">
      <c r="A97" s="493">
        <v>244</v>
      </c>
      <c r="B97" s="496">
        <v>40</v>
      </c>
      <c r="C97" s="1186" t="s">
        <v>726</v>
      </c>
      <c r="D97" s="1244"/>
      <c r="E97" s="469">
        <f>ROUNDUP(G97/2000,0)</f>
        <v>59</v>
      </c>
      <c r="F97" s="665">
        <f>IFERROR(ROUND(G97/E97,2),0)</f>
        <v>1976.95</v>
      </c>
      <c r="G97" s="1070">
        <f>G98-SUM(G58:H96)</f>
        <v>116640</v>
      </c>
      <c r="H97" s="1075"/>
      <c r="I97" s="469"/>
      <c r="J97" s="665"/>
      <c r="K97" s="1070">
        <f>K98-SUM(K58:L96)</f>
        <v>410468</v>
      </c>
      <c r="L97" s="1075"/>
      <c r="M97" s="469"/>
      <c r="N97" s="665"/>
      <c r="O97" s="1070">
        <f>O98-SUM(O58:P96)</f>
        <v>410468</v>
      </c>
      <c r="P97" s="1075"/>
      <c r="Q97" s="523"/>
      <c r="R97" s="523"/>
      <c r="S97" s="523"/>
      <c r="T97" s="379"/>
    </row>
    <row r="98" spans="1:20" s="524" customFormat="1" ht="27.75" customHeight="1" x14ac:dyDescent="0.2">
      <c r="A98" s="517"/>
      <c r="B98" s="522"/>
      <c r="C98" s="1249" t="s">
        <v>611</v>
      </c>
      <c r="D98" s="1250"/>
      <c r="E98" s="512" t="s">
        <v>462</v>
      </c>
      <c r="F98" s="511" t="s">
        <v>462</v>
      </c>
      <c r="G98" s="1008">
        <f>SUMIFS(Титульный!$E$13:$E$157,Титульный!$A$13:$A$157,'Расходы КФО 4'!$Q98,Титульный!$B$13:$B$157,'Расходы КФО 4'!$R98,Титульный!$D$13:$D$157,'Расходы КФО 4'!$S98)</f>
        <v>614376.61</v>
      </c>
      <c r="H98" s="1009">
        <f>SUMIFS(Титульный!$E$13:$E$157,Титульный!$A$13:$A$157,'Расходы КФО 4'!$Q98,Титульный!$B$13:$B$157,'Расходы КФО 4'!$R98,Титульный!$D$13:$D$157,'Расходы КФО 4'!$S98)</f>
        <v>614376.61</v>
      </c>
      <c r="I98" s="512" t="s">
        <v>462</v>
      </c>
      <c r="J98" s="511" t="s">
        <v>462</v>
      </c>
      <c r="K98" s="1008">
        <f>SUMIFS(Титульный!$F$13:$F$157,
Титульный!$A$13:$A$157,'Расходы КФО 4'!$Q98,
Титульный!$B$13:$B$157,'Расходы КФО 4'!$R98,
Титульный!$D$13:$D$157,'Расходы КФО 4'!$S98)</f>
        <v>568848</v>
      </c>
      <c r="L98" s="1009">
        <f>SUMIFS(Титульный!$F$13:$F$157,
Титульный!$A$13:$A$157,'Расходы КФО 4'!$Q98,
Титульный!$B$13:$B$157,'Расходы КФО 4'!$R98,
Титульный!$D$13:$D$157,'Расходы КФО 4'!$S98)</f>
        <v>568848</v>
      </c>
      <c r="M98" s="510" t="s">
        <v>462</v>
      </c>
      <c r="N98" s="511" t="s">
        <v>462</v>
      </c>
      <c r="O98" s="1008">
        <f>SUMIFS(Титульный!$G$13:$G$157,
Титульный!$A$13:$A$157,'Расходы КФО 4'!$Q98,
Титульный!$B$13:$B$157,'Расходы КФО 4'!$R98,
Титульный!$D$13:$D$157,'Расходы КФО 4'!$S98)</f>
        <v>568848</v>
      </c>
      <c r="P98" s="1009">
        <f>SUMIFS(Титульный!$G$13:$G$157,
Титульный!$A$13:$A$157,'Расходы КФО 4'!$Q98,
Титульный!$B$13:$B$157,'Расходы КФО 4'!$R98,
Титульный!$D$13:$D$157,'Расходы КФО 4'!$S98)</f>
        <v>568848</v>
      </c>
      <c r="Q98" s="523">
        <v>4</v>
      </c>
      <c r="R98" s="523">
        <v>244</v>
      </c>
      <c r="S98" s="523">
        <v>225</v>
      </c>
      <c r="T98" s="523"/>
    </row>
    <row r="99" spans="1:20" s="374" customFormat="1" ht="12" customHeight="1" x14ac:dyDescent="0.2">
      <c r="B99" s="506"/>
      <c r="Q99" s="531"/>
      <c r="R99" s="531"/>
      <c r="S99" s="531"/>
      <c r="T99" s="376"/>
    </row>
    <row r="100" spans="1:20" s="374" customFormat="1" ht="12" customHeight="1" x14ac:dyDescent="0.2">
      <c r="B100" s="506"/>
      <c r="Q100" s="531"/>
      <c r="R100" s="531"/>
      <c r="S100" s="531"/>
      <c r="T100" s="376"/>
    </row>
    <row r="101" spans="1:20" s="374" customFormat="1" ht="12" customHeight="1" x14ac:dyDescent="0.2">
      <c r="B101" s="506"/>
      <c r="Q101" s="531"/>
      <c r="R101" s="531"/>
      <c r="S101" s="531"/>
      <c r="T101" s="376"/>
    </row>
    <row r="102" spans="1:20" s="449" customFormat="1" ht="27.75" customHeight="1" x14ac:dyDescent="0.2">
      <c r="A102" s="989" t="s">
        <v>637</v>
      </c>
      <c r="B102" s="989"/>
      <c r="C102" s="989"/>
      <c r="D102" s="989"/>
      <c r="E102" s="989"/>
      <c r="F102" s="989"/>
      <c r="G102" s="989"/>
      <c r="H102" s="989"/>
      <c r="I102" s="989"/>
      <c r="J102" s="989"/>
      <c r="K102" s="989"/>
      <c r="L102" s="989"/>
      <c r="M102" s="989"/>
      <c r="N102" s="989"/>
      <c r="O102" s="989"/>
      <c r="P102" s="989"/>
      <c r="Q102" s="523"/>
      <c r="R102" s="523"/>
      <c r="S102" s="523"/>
      <c r="T102" s="448"/>
    </row>
    <row r="103" spans="1:20" s="374" customFormat="1" ht="12" customHeight="1" x14ac:dyDescent="0.2">
      <c r="B103" s="506"/>
      <c r="Q103" s="531"/>
      <c r="R103" s="531"/>
      <c r="S103" s="531"/>
      <c r="T103" s="376"/>
    </row>
    <row r="104" spans="1:20" s="374" customFormat="1" ht="33" customHeight="1" x14ac:dyDescent="0.2">
      <c r="A104" s="1034" t="s">
        <v>598</v>
      </c>
      <c r="B104" s="1000" t="s">
        <v>484</v>
      </c>
      <c r="C104" s="1208" t="s">
        <v>610</v>
      </c>
      <c r="D104" s="1064"/>
      <c r="E104" s="1176" t="s">
        <v>831</v>
      </c>
      <c r="F104" s="1177"/>
      <c r="G104" s="1177"/>
      <c r="H104" s="1178"/>
      <c r="I104" s="1179" t="s">
        <v>825</v>
      </c>
      <c r="J104" s="1180"/>
      <c r="K104" s="1180"/>
      <c r="L104" s="1181"/>
      <c r="M104" s="1190" t="s">
        <v>823</v>
      </c>
      <c r="N104" s="1180"/>
      <c r="O104" s="1180"/>
      <c r="P104" s="1181"/>
      <c r="Q104" s="531"/>
      <c r="R104" s="531"/>
      <c r="S104" s="531"/>
      <c r="T104" s="376"/>
    </row>
    <row r="105" spans="1:20" s="374" customFormat="1" ht="48" customHeight="1" x14ac:dyDescent="0.2">
      <c r="A105" s="1035"/>
      <c r="B105" s="1036"/>
      <c r="C105" s="1245"/>
      <c r="D105" s="1246"/>
      <c r="E105" s="399" t="s">
        <v>638</v>
      </c>
      <c r="F105" s="401" t="s">
        <v>639</v>
      </c>
      <c r="G105" s="1203" t="s">
        <v>553</v>
      </c>
      <c r="H105" s="1204"/>
      <c r="I105" s="399" t="s">
        <v>638</v>
      </c>
      <c r="J105" s="401" t="s">
        <v>639</v>
      </c>
      <c r="K105" s="1203" t="s">
        <v>553</v>
      </c>
      <c r="L105" s="1204"/>
      <c r="M105" s="399" t="s">
        <v>638</v>
      </c>
      <c r="N105" s="401" t="s">
        <v>639</v>
      </c>
      <c r="O105" s="1203" t="s">
        <v>553</v>
      </c>
      <c r="P105" s="1204"/>
      <c r="Q105" s="531"/>
      <c r="R105" s="531"/>
      <c r="S105" s="531"/>
      <c r="T105" s="376"/>
    </row>
    <row r="106" spans="1:20" s="374" customFormat="1" x14ac:dyDescent="0.2">
      <c r="A106" s="387" t="s">
        <v>6</v>
      </c>
      <c r="B106" s="732" t="s">
        <v>7</v>
      </c>
      <c r="C106" s="1247" t="s">
        <v>8</v>
      </c>
      <c r="D106" s="1248"/>
      <c r="E106" s="417">
        <v>4</v>
      </c>
      <c r="F106" s="408">
        <v>5</v>
      </c>
      <c r="G106" s="1004" t="s">
        <v>784</v>
      </c>
      <c r="H106" s="1005"/>
      <c r="I106" s="417">
        <v>7</v>
      </c>
      <c r="J106" s="408">
        <v>8</v>
      </c>
      <c r="K106" s="1004" t="s">
        <v>785</v>
      </c>
      <c r="L106" s="1005"/>
      <c r="M106" s="417" t="s">
        <v>463</v>
      </c>
      <c r="N106" s="408" t="s">
        <v>468</v>
      </c>
      <c r="O106" s="1004" t="s">
        <v>556</v>
      </c>
      <c r="P106" s="1005"/>
      <c r="Q106" s="531"/>
      <c r="R106" s="531"/>
      <c r="S106" s="531"/>
      <c r="T106" s="376"/>
    </row>
    <row r="107" spans="1:20" s="334" customFormat="1" ht="27.75" customHeight="1" x14ac:dyDescent="0.2">
      <c r="A107" s="452">
        <v>244</v>
      </c>
      <c r="B107" s="451">
        <v>1</v>
      </c>
      <c r="C107" s="1186" t="s">
        <v>727</v>
      </c>
      <c r="D107" s="1244"/>
      <c r="E107" s="465">
        <v>12</v>
      </c>
      <c r="F107" s="580">
        <f>G107/E107</f>
        <v>2900</v>
      </c>
      <c r="G107" s="1002">
        <f>Титульный!E81+Титульный!E80</f>
        <v>34800</v>
      </c>
      <c r="H107" s="1003"/>
      <c r="I107" s="465"/>
      <c r="J107" s="580"/>
      <c r="K107" s="1002">
        <f>I107*J107</f>
        <v>0</v>
      </c>
      <c r="L107" s="1003"/>
      <c r="M107" s="465"/>
      <c r="N107" s="580"/>
      <c r="O107" s="1002">
        <f>M107*N107</f>
        <v>0</v>
      </c>
      <c r="P107" s="1003"/>
      <c r="Q107" s="523"/>
      <c r="R107" s="523"/>
      <c r="S107" s="523"/>
      <c r="T107" s="379"/>
    </row>
    <row r="108" spans="1:20" s="334" customFormat="1" ht="27.75" customHeight="1" x14ac:dyDescent="0.2">
      <c r="A108" s="452">
        <v>244</v>
      </c>
      <c r="B108" s="451">
        <v>2</v>
      </c>
      <c r="C108" s="1186" t="s">
        <v>728</v>
      </c>
      <c r="D108" s="1244"/>
      <c r="E108" s="465">
        <v>3</v>
      </c>
      <c r="F108" s="712">
        <f>G108/E108</f>
        <v>2200</v>
      </c>
      <c r="G108" s="1238">
        <v>6600</v>
      </c>
      <c r="H108" s="1239"/>
      <c r="I108" s="465"/>
      <c r="J108" s="580"/>
      <c r="K108" s="1238">
        <f t="shared" ref="K108:K119" si="6">I108*J108</f>
        <v>0</v>
      </c>
      <c r="L108" s="1239"/>
      <c r="M108" s="465"/>
      <c r="N108" s="580"/>
      <c r="O108" s="1238">
        <f t="shared" ref="O108:O119" si="7">M108*N108</f>
        <v>0</v>
      </c>
      <c r="P108" s="1239"/>
      <c r="Q108" s="523"/>
      <c r="R108" s="523"/>
      <c r="S108" s="523"/>
      <c r="T108" s="379"/>
    </row>
    <row r="109" spans="1:20" s="334" customFormat="1" ht="27.75" customHeight="1" x14ac:dyDescent="0.2">
      <c r="A109" s="452">
        <v>244</v>
      </c>
      <c r="B109" s="451">
        <v>3</v>
      </c>
      <c r="C109" s="1186" t="s">
        <v>729</v>
      </c>
      <c r="D109" s="1244"/>
      <c r="E109" s="465">
        <v>1</v>
      </c>
      <c r="F109" s="580">
        <v>12000</v>
      </c>
      <c r="G109" s="1238">
        <f t="shared" ref="G109:G119" si="8">E109*F109</f>
        <v>12000</v>
      </c>
      <c r="H109" s="1239"/>
      <c r="I109" s="465"/>
      <c r="J109" s="580"/>
      <c r="K109" s="1238">
        <f t="shared" si="6"/>
        <v>0</v>
      </c>
      <c r="L109" s="1239"/>
      <c r="M109" s="465"/>
      <c r="N109" s="580"/>
      <c r="O109" s="1238">
        <f t="shared" si="7"/>
        <v>0</v>
      </c>
      <c r="P109" s="1239"/>
      <c r="Q109" s="523"/>
      <c r="R109" s="523"/>
      <c r="S109" s="523"/>
      <c r="T109" s="379"/>
    </row>
    <row r="110" spans="1:20" s="334" customFormat="1" ht="27.75" customHeight="1" x14ac:dyDescent="0.2">
      <c r="A110" s="452">
        <v>244</v>
      </c>
      <c r="B110" s="451">
        <v>4</v>
      </c>
      <c r="C110" s="1186" t="s">
        <v>730</v>
      </c>
      <c r="D110" s="1244"/>
      <c r="E110" s="711">
        <f>ROUNDUP(G110/20000,0)</f>
        <v>2</v>
      </c>
      <c r="F110" s="712">
        <f>IFERROR(ROUND(G110/E110,2),0)</f>
        <v>17562.5</v>
      </c>
      <c r="G110" s="1238">
        <f>5125+30000</f>
        <v>35125</v>
      </c>
      <c r="H110" s="1239"/>
      <c r="I110" s="465"/>
      <c r="J110" s="580"/>
      <c r="K110" s="1238">
        <f t="shared" si="6"/>
        <v>0</v>
      </c>
      <c r="L110" s="1239"/>
      <c r="M110" s="465"/>
      <c r="N110" s="580"/>
      <c r="O110" s="1238">
        <f t="shared" si="7"/>
        <v>0</v>
      </c>
      <c r="P110" s="1239"/>
      <c r="Q110" s="523"/>
      <c r="R110" s="523"/>
      <c r="S110" s="523"/>
      <c r="T110" s="379"/>
    </row>
    <row r="111" spans="1:20" s="334" customFormat="1" ht="27.75" customHeight="1" x14ac:dyDescent="0.2">
      <c r="A111" s="452">
        <v>244</v>
      </c>
      <c r="B111" s="451">
        <v>5</v>
      </c>
      <c r="C111" s="1186" t="s">
        <v>811</v>
      </c>
      <c r="D111" s="1244"/>
      <c r="E111" s="711">
        <v>2</v>
      </c>
      <c r="F111" s="712">
        <v>25000</v>
      </c>
      <c r="G111" s="1238">
        <f t="shared" ref="G111" si="9">E111*F111</f>
        <v>50000</v>
      </c>
      <c r="H111" s="1239"/>
      <c r="I111" s="711"/>
      <c r="J111" s="712"/>
      <c r="K111" s="1238">
        <f t="shared" ref="K111" si="10">I111*J111</f>
        <v>0</v>
      </c>
      <c r="L111" s="1239"/>
      <c r="M111" s="711"/>
      <c r="N111" s="712"/>
      <c r="O111" s="1238">
        <f t="shared" ref="O111" si="11">M111*N111</f>
        <v>0</v>
      </c>
      <c r="P111" s="1239"/>
      <c r="Q111" s="523"/>
      <c r="R111" s="523"/>
      <c r="S111" s="523"/>
      <c r="T111" s="379"/>
    </row>
    <row r="112" spans="1:20" s="334" customFormat="1" ht="27.75" customHeight="1" x14ac:dyDescent="0.2">
      <c r="A112" s="452">
        <v>244</v>
      </c>
      <c r="B112" s="451">
        <v>6</v>
      </c>
      <c r="C112" s="1186" t="s">
        <v>731</v>
      </c>
      <c r="D112" s="1244"/>
      <c r="E112" s="465"/>
      <c r="F112" s="580"/>
      <c r="G112" s="1238">
        <f t="shared" si="8"/>
        <v>0</v>
      </c>
      <c r="H112" s="1239"/>
      <c r="I112" s="465"/>
      <c r="J112" s="580"/>
      <c r="K112" s="1238">
        <f t="shared" si="6"/>
        <v>0</v>
      </c>
      <c r="L112" s="1239"/>
      <c r="M112" s="465"/>
      <c r="N112" s="580"/>
      <c r="O112" s="1238">
        <f t="shared" si="7"/>
        <v>0</v>
      </c>
      <c r="P112" s="1239"/>
      <c r="Q112" s="523"/>
      <c r="R112" s="523"/>
      <c r="S112" s="523"/>
      <c r="T112" s="379"/>
    </row>
    <row r="113" spans="1:20" s="334" customFormat="1" ht="27.75" customHeight="1" x14ac:dyDescent="0.2">
      <c r="A113" s="452">
        <v>244</v>
      </c>
      <c r="B113" s="451">
        <v>7</v>
      </c>
      <c r="C113" s="1186" t="s">
        <v>733</v>
      </c>
      <c r="D113" s="1244"/>
      <c r="E113" s="711">
        <f>ROUNDUP(G113/320000,0)</f>
        <v>2</v>
      </c>
      <c r="F113" s="712">
        <f>IFERROR(ROUND(G113/E113,2),0)</f>
        <v>298932</v>
      </c>
      <c r="G113" s="1238">
        <f>Титульный!E79</f>
        <v>597864</v>
      </c>
      <c r="H113" s="1239"/>
      <c r="I113" s="711">
        <f>ROUNDUP(K113/320000,0)</f>
        <v>2</v>
      </c>
      <c r="J113" s="712">
        <f>IFERROR(ROUND(K113/I113,2),0)</f>
        <v>298932</v>
      </c>
      <c r="K113" s="1238">
        <f>Титульный!F79</f>
        <v>597864</v>
      </c>
      <c r="L113" s="1239"/>
      <c r="M113" s="711">
        <f>ROUNDUP(O113/320000,0)</f>
        <v>2</v>
      </c>
      <c r="N113" s="712">
        <f>IFERROR(ROUND(O113/M113,2),0)</f>
        <v>298932</v>
      </c>
      <c r="O113" s="1238">
        <f>Титульный!G79</f>
        <v>597864</v>
      </c>
      <c r="P113" s="1239"/>
      <c r="Q113" s="523"/>
      <c r="R113" s="523"/>
      <c r="S113" s="523"/>
      <c r="T113" s="379"/>
    </row>
    <row r="114" spans="1:20" s="334" customFormat="1" ht="27.75" customHeight="1" x14ac:dyDescent="0.2">
      <c r="A114" s="452">
        <v>244</v>
      </c>
      <c r="B114" s="451">
        <v>8</v>
      </c>
      <c r="C114" s="1186" t="s">
        <v>734</v>
      </c>
      <c r="D114" s="1244"/>
      <c r="E114" s="465"/>
      <c r="F114" s="580"/>
      <c r="G114" s="1238">
        <f t="shared" si="8"/>
        <v>0</v>
      </c>
      <c r="H114" s="1239"/>
      <c r="I114" s="465"/>
      <c r="J114" s="580"/>
      <c r="K114" s="1238">
        <f t="shared" si="6"/>
        <v>0</v>
      </c>
      <c r="L114" s="1239"/>
      <c r="M114" s="465"/>
      <c r="N114" s="580"/>
      <c r="O114" s="1238">
        <f t="shared" si="7"/>
        <v>0</v>
      </c>
      <c r="P114" s="1239"/>
      <c r="Q114" s="523"/>
      <c r="R114" s="523"/>
      <c r="S114" s="523"/>
      <c r="T114" s="379"/>
    </row>
    <row r="115" spans="1:20" s="334" customFormat="1" ht="27.75" customHeight="1" x14ac:dyDescent="0.2">
      <c r="A115" s="452">
        <v>244</v>
      </c>
      <c r="B115" s="451">
        <v>9</v>
      </c>
      <c r="C115" s="1186" t="s">
        <v>735</v>
      </c>
      <c r="D115" s="1244"/>
      <c r="E115" s="711">
        <f>ROUNDUP(G115/3000,0)</f>
        <v>25</v>
      </c>
      <c r="F115" s="712">
        <f>IFERROR(ROUND(G115/E115,2),0)</f>
        <v>2912</v>
      </c>
      <c r="G115" s="1238">
        <v>72800</v>
      </c>
      <c r="H115" s="1239"/>
      <c r="I115" s="465"/>
      <c r="J115" s="580"/>
      <c r="K115" s="1238">
        <f t="shared" si="6"/>
        <v>0</v>
      </c>
      <c r="L115" s="1239"/>
      <c r="M115" s="465"/>
      <c r="N115" s="580"/>
      <c r="O115" s="1238">
        <f t="shared" si="7"/>
        <v>0</v>
      </c>
      <c r="P115" s="1239"/>
      <c r="Q115" s="523"/>
      <c r="R115" s="523"/>
      <c r="S115" s="523"/>
      <c r="T115" s="379"/>
    </row>
    <row r="116" spans="1:20" s="334" customFormat="1" ht="27.75" customHeight="1" x14ac:dyDescent="0.2">
      <c r="A116" s="452">
        <v>244</v>
      </c>
      <c r="B116" s="451">
        <v>10</v>
      </c>
      <c r="C116" s="1186" t="s">
        <v>737</v>
      </c>
      <c r="D116" s="1244"/>
      <c r="E116" s="465">
        <v>90</v>
      </c>
      <c r="F116" s="580">
        <v>600</v>
      </c>
      <c r="G116" s="1238">
        <f t="shared" si="8"/>
        <v>54000</v>
      </c>
      <c r="H116" s="1239"/>
      <c r="I116" s="465"/>
      <c r="J116" s="580"/>
      <c r="K116" s="1238">
        <f t="shared" si="6"/>
        <v>0</v>
      </c>
      <c r="L116" s="1239"/>
      <c r="M116" s="465"/>
      <c r="N116" s="580"/>
      <c r="O116" s="1238">
        <f t="shared" si="7"/>
        <v>0</v>
      </c>
      <c r="P116" s="1239"/>
      <c r="Q116" s="523"/>
      <c r="R116" s="523"/>
      <c r="S116" s="523"/>
      <c r="T116" s="379"/>
    </row>
    <row r="117" spans="1:20" s="334" customFormat="1" ht="27.75" customHeight="1" x14ac:dyDescent="0.2">
      <c r="A117" s="452">
        <v>244</v>
      </c>
      <c r="B117" s="451">
        <v>11</v>
      </c>
      <c r="C117" s="1186" t="s">
        <v>738</v>
      </c>
      <c r="D117" s="1244"/>
      <c r="E117" s="465">
        <v>1</v>
      </c>
      <c r="F117" s="580">
        <v>18000</v>
      </c>
      <c r="G117" s="1238">
        <f t="shared" si="8"/>
        <v>18000</v>
      </c>
      <c r="H117" s="1239"/>
      <c r="I117" s="465"/>
      <c r="J117" s="580"/>
      <c r="K117" s="1238">
        <f t="shared" si="6"/>
        <v>0</v>
      </c>
      <c r="L117" s="1239"/>
      <c r="M117" s="465"/>
      <c r="N117" s="580"/>
      <c r="O117" s="1238">
        <f t="shared" si="7"/>
        <v>0</v>
      </c>
      <c r="P117" s="1239"/>
      <c r="Q117" s="523"/>
      <c r="R117" s="523"/>
      <c r="S117" s="523"/>
      <c r="T117" s="379"/>
    </row>
    <row r="118" spans="1:20" s="334" customFormat="1" ht="27.75" customHeight="1" x14ac:dyDescent="0.2">
      <c r="A118" s="452">
        <v>244</v>
      </c>
      <c r="B118" s="451">
        <v>12</v>
      </c>
      <c r="C118" s="1186" t="s">
        <v>739</v>
      </c>
      <c r="D118" s="1244"/>
      <c r="E118" s="465">
        <v>1</v>
      </c>
      <c r="F118" s="580">
        <v>4700</v>
      </c>
      <c r="G118" s="1238">
        <f t="shared" si="8"/>
        <v>4700</v>
      </c>
      <c r="H118" s="1239"/>
      <c r="I118" s="465"/>
      <c r="J118" s="580"/>
      <c r="K118" s="1238">
        <f t="shared" si="6"/>
        <v>0</v>
      </c>
      <c r="L118" s="1239"/>
      <c r="M118" s="465"/>
      <c r="N118" s="580"/>
      <c r="O118" s="1238">
        <f t="shared" si="7"/>
        <v>0</v>
      </c>
      <c r="P118" s="1239"/>
      <c r="Q118" s="523"/>
      <c r="R118" s="523"/>
      <c r="S118" s="523"/>
      <c r="T118" s="379"/>
    </row>
    <row r="119" spans="1:20" s="334" customFormat="1" ht="27.75" customHeight="1" x14ac:dyDescent="0.2">
      <c r="A119" s="452">
        <v>244</v>
      </c>
      <c r="B119" s="451">
        <v>13</v>
      </c>
      <c r="C119" s="1186" t="s">
        <v>741</v>
      </c>
      <c r="D119" s="1244"/>
      <c r="E119" s="465"/>
      <c r="F119" s="580"/>
      <c r="G119" s="1238">
        <f t="shared" si="8"/>
        <v>0</v>
      </c>
      <c r="H119" s="1239"/>
      <c r="I119" s="465"/>
      <c r="J119" s="580"/>
      <c r="K119" s="1238">
        <f t="shared" si="6"/>
        <v>0</v>
      </c>
      <c r="L119" s="1239"/>
      <c r="M119" s="465"/>
      <c r="N119" s="580"/>
      <c r="O119" s="1238">
        <f t="shared" si="7"/>
        <v>0</v>
      </c>
      <c r="P119" s="1239"/>
      <c r="Q119" s="523"/>
      <c r="R119" s="523"/>
      <c r="S119" s="523"/>
      <c r="T119" s="379"/>
    </row>
    <row r="120" spans="1:20" s="334" customFormat="1" ht="27.75" customHeight="1" x14ac:dyDescent="0.2">
      <c r="A120" s="452">
        <v>244</v>
      </c>
      <c r="B120" s="451">
        <v>14</v>
      </c>
      <c r="C120" s="1186" t="s">
        <v>732</v>
      </c>
      <c r="D120" s="1244"/>
      <c r="E120" s="465">
        <v>1</v>
      </c>
      <c r="F120" s="580">
        <f>G120/E120</f>
        <v>6364</v>
      </c>
      <c r="G120" s="1002">
        <f>Титульный!E77</f>
        <v>6364</v>
      </c>
      <c r="H120" s="1003"/>
      <c r="I120" s="465">
        <v>1</v>
      </c>
      <c r="J120" s="580">
        <f>K120/I120</f>
        <v>0</v>
      </c>
      <c r="K120" s="1002">
        <f>Титульный!F77</f>
        <v>0</v>
      </c>
      <c r="L120" s="1003"/>
      <c r="M120" s="465">
        <v>1</v>
      </c>
      <c r="N120" s="580">
        <f>O120/M120</f>
        <v>0</v>
      </c>
      <c r="O120" s="1002">
        <f>Титульный!G77</f>
        <v>0</v>
      </c>
      <c r="P120" s="1003"/>
      <c r="Q120" s="523"/>
      <c r="R120" s="523"/>
      <c r="S120" s="523"/>
      <c r="T120" s="379"/>
    </row>
    <row r="121" spans="1:20" s="334" customFormat="1" ht="27.75" customHeight="1" x14ac:dyDescent="0.2">
      <c r="A121" s="452">
        <v>244</v>
      </c>
      <c r="B121" s="451">
        <v>15</v>
      </c>
      <c r="C121" s="1186" t="s">
        <v>736</v>
      </c>
      <c r="D121" s="1244"/>
      <c r="E121" s="465">
        <f>ROUNDUP(G121/80000,0)</f>
        <v>2</v>
      </c>
      <c r="F121" s="580">
        <f>IFERROR(ROUND(G121/E121,2),0)</f>
        <v>53896.480000000003</v>
      </c>
      <c r="G121" s="1002">
        <f>Титульный!E78</f>
        <v>107792.95</v>
      </c>
      <c r="H121" s="1003"/>
      <c r="I121" s="465">
        <f>ROUNDUP(K121/80000,0)</f>
        <v>2</v>
      </c>
      <c r="J121" s="580">
        <f>IFERROR(ROUND(K121/I121,2),0)</f>
        <v>45267</v>
      </c>
      <c r="K121" s="1002">
        <f>Титульный!F78</f>
        <v>90534</v>
      </c>
      <c r="L121" s="1003"/>
      <c r="M121" s="465">
        <f>ROUNDUP(O121/80000,0)</f>
        <v>2</v>
      </c>
      <c r="N121" s="580">
        <f>IFERROR(ROUND(O121/M121,2),0)</f>
        <v>45267</v>
      </c>
      <c r="O121" s="1002">
        <f>Титульный!G78</f>
        <v>90534</v>
      </c>
      <c r="P121" s="1003"/>
      <c r="Q121" s="523"/>
      <c r="R121" s="523"/>
      <c r="S121" s="523"/>
      <c r="T121" s="379"/>
    </row>
    <row r="122" spans="1:20" s="334" customFormat="1" ht="27.75" customHeight="1" x14ac:dyDescent="0.2">
      <c r="A122" s="493">
        <v>244</v>
      </c>
      <c r="B122" s="502">
        <v>16</v>
      </c>
      <c r="C122" s="1182" t="s">
        <v>740</v>
      </c>
      <c r="D122" s="1265"/>
      <c r="E122" s="469"/>
      <c r="F122" s="665"/>
      <c r="G122" s="1070">
        <f>G123-SUM(G107:H121)</f>
        <v>-52201.910000000033</v>
      </c>
      <c r="H122" s="1075"/>
      <c r="I122" s="469"/>
      <c r="J122" s="665"/>
      <c r="K122" s="1070">
        <f>K123-SUM(K107:L121)</f>
        <v>148850</v>
      </c>
      <c r="L122" s="1075"/>
      <c r="M122" s="469"/>
      <c r="N122" s="665"/>
      <c r="O122" s="1070">
        <f>O123-SUM(O107:P121)</f>
        <v>148850</v>
      </c>
      <c r="P122" s="1075"/>
      <c r="Q122" s="523"/>
      <c r="R122" s="523"/>
      <c r="S122" s="523"/>
      <c r="T122" s="379"/>
    </row>
    <row r="123" spans="1:20" s="524" customFormat="1" ht="27.75" customHeight="1" x14ac:dyDescent="0.2">
      <c r="A123" s="517"/>
      <c r="B123" s="740"/>
      <c r="C123" s="1249" t="s">
        <v>611</v>
      </c>
      <c r="D123" s="1250"/>
      <c r="E123" s="512" t="s">
        <v>462</v>
      </c>
      <c r="F123" s="511" t="s">
        <v>462</v>
      </c>
      <c r="G123" s="1008">
        <f>SUMIFS(Титульный!$E$13:$E$157,Титульный!$A$13:$A$157,'Расходы КФО 4'!$Q123,Титульный!$B$13:$B$157,'Расходы КФО 4'!$R123,Титульный!$D$13:$D$157,'Расходы КФО 4'!$S123)</f>
        <v>947844.03999999992</v>
      </c>
      <c r="H123" s="1009">
        <f>SUMIFS(Титульный!$E$13:$E$157,Титульный!$A$13:$A$157,'Расходы КФО 4'!$Q123,Титульный!$B$13:$B$157,'Расходы КФО 4'!$R123,Титульный!$D$13:$D$157,'Расходы КФО 4'!$S123)</f>
        <v>947844.03999999992</v>
      </c>
      <c r="I123" s="512" t="s">
        <v>462</v>
      </c>
      <c r="J123" s="511" t="s">
        <v>462</v>
      </c>
      <c r="K123" s="1008">
        <f>SUMIFS(Титульный!$F$13:$F$157,
Титульный!$A$13:$A$157,'Расходы КФО 4'!$Q123,
Титульный!$B$13:$B$157,'Расходы КФО 4'!$R123,
Титульный!$D$13:$D$157,'Расходы КФО 4'!$S123)</f>
        <v>837248</v>
      </c>
      <c r="L123" s="1009">
        <f>SUMIFS(Титульный!$F$13:$F$157,
Титульный!$A$13:$A$157,'Расходы КФО 4'!$Q123,
Титульный!$B$13:$B$157,'Расходы КФО 4'!$R123,
Титульный!$D$13:$D$157,'Расходы КФО 4'!$S123)</f>
        <v>837248</v>
      </c>
      <c r="M123" s="510" t="s">
        <v>462</v>
      </c>
      <c r="N123" s="511" t="s">
        <v>462</v>
      </c>
      <c r="O123" s="1008">
        <f>SUMIFS(Титульный!$G$13:$G$157,
Титульный!$A$13:$A$157,'Расходы КФО 4'!$Q123,
Титульный!$B$13:$B$157,'Расходы КФО 4'!$R123,
Титульный!$D$13:$D$157,'Расходы КФО 4'!$S123)</f>
        <v>837248</v>
      </c>
      <c r="P123" s="1009">
        <f>SUMIFS(Титульный!$G$13:$G$157,
Титульный!$A$13:$A$157,'Расходы КФО 4'!$Q123,
Титульный!$B$13:$B$157,'Расходы КФО 4'!$R123,
Титульный!$D$13:$D$157,'Расходы КФО 4'!$S123)</f>
        <v>837248</v>
      </c>
      <c r="Q123" s="523">
        <v>4</v>
      </c>
      <c r="R123" s="523">
        <v>244</v>
      </c>
      <c r="S123" s="523">
        <v>226</v>
      </c>
      <c r="T123" s="523"/>
    </row>
    <row r="124" spans="1:20" s="374" customFormat="1" ht="12" customHeight="1" x14ac:dyDescent="0.2">
      <c r="B124" s="506"/>
      <c r="Q124" s="531"/>
      <c r="R124" s="531"/>
      <c r="S124" s="531"/>
      <c r="T124" s="376"/>
    </row>
    <row r="125" spans="1:20" s="374" customFormat="1" ht="12" customHeight="1" x14ac:dyDescent="0.2">
      <c r="B125" s="506"/>
      <c r="Q125" s="531"/>
      <c r="R125" s="531"/>
      <c r="S125" s="531"/>
      <c r="T125" s="376"/>
    </row>
    <row r="126" spans="1:20" s="374" customFormat="1" ht="12" customHeight="1" x14ac:dyDescent="0.2">
      <c r="B126" s="506"/>
      <c r="Q126" s="531"/>
      <c r="R126" s="531"/>
      <c r="S126" s="531"/>
      <c r="T126" s="376"/>
    </row>
    <row r="127" spans="1:20" s="449" customFormat="1" ht="27.75" customHeight="1" x14ac:dyDescent="0.2">
      <c r="A127" s="989" t="s">
        <v>640</v>
      </c>
      <c r="B127" s="989"/>
      <c r="C127" s="989"/>
      <c r="D127" s="989"/>
      <c r="E127" s="989"/>
      <c r="F127" s="989"/>
      <c r="G127" s="989"/>
      <c r="H127" s="989"/>
      <c r="I127" s="989"/>
      <c r="J127" s="989"/>
      <c r="K127" s="989"/>
      <c r="L127" s="989"/>
      <c r="M127" s="989"/>
      <c r="N127" s="989"/>
      <c r="O127" s="989"/>
      <c r="P127" s="989"/>
      <c r="Q127" s="523"/>
      <c r="R127" s="523"/>
      <c r="S127" s="523"/>
      <c r="T127" s="448"/>
    </row>
    <row r="128" spans="1:20" s="374" customFormat="1" ht="12" customHeight="1" x14ac:dyDescent="0.2">
      <c r="B128" s="506"/>
      <c r="Q128" s="531"/>
      <c r="R128" s="531"/>
      <c r="S128" s="531"/>
      <c r="T128" s="376"/>
    </row>
    <row r="129" spans="1:20" s="374" customFormat="1" ht="15.75" customHeight="1" x14ac:dyDescent="0.2">
      <c r="A129" s="1034" t="s">
        <v>598</v>
      </c>
      <c r="B129" s="1000" t="s">
        <v>484</v>
      </c>
      <c r="C129" s="1208" t="s">
        <v>610</v>
      </c>
      <c r="D129" s="1064"/>
      <c r="E129" s="1277" t="s">
        <v>553</v>
      </c>
      <c r="F129" s="1278"/>
      <c r="G129" s="1278"/>
      <c r="H129" s="1278"/>
      <c r="I129" s="1278"/>
      <c r="J129" s="1278"/>
      <c r="K129" s="1278"/>
      <c r="L129" s="1278"/>
      <c r="M129" s="1278"/>
      <c r="N129" s="1278"/>
      <c r="O129" s="1278"/>
      <c r="P129" s="1279"/>
      <c r="Q129" s="531"/>
      <c r="R129" s="531"/>
      <c r="S129" s="531"/>
      <c r="T129" s="376"/>
    </row>
    <row r="130" spans="1:20" s="374" customFormat="1" ht="50.25" customHeight="1" x14ac:dyDescent="0.2">
      <c r="A130" s="1035"/>
      <c r="B130" s="1036"/>
      <c r="C130" s="1214"/>
      <c r="D130" s="1066"/>
      <c r="E130" s="1266" t="s">
        <v>831</v>
      </c>
      <c r="F130" s="1267"/>
      <c r="G130" s="1267"/>
      <c r="H130" s="1268"/>
      <c r="I130" s="1035" t="s">
        <v>825</v>
      </c>
      <c r="J130" s="1036"/>
      <c r="K130" s="1036"/>
      <c r="L130" s="1218"/>
      <c r="M130" s="1269" t="s">
        <v>823</v>
      </c>
      <c r="N130" s="1036"/>
      <c r="O130" s="1036"/>
      <c r="P130" s="1218"/>
      <c r="Q130" s="531"/>
      <c r="R130" s="531"/>
      <c r="S130" s="531"/>
      <c r="T130" s="376"/>
    </row>
    <row r="131" spans="1:20" s="374" customFormat="1" x14ac:dyDescent="0.2">
      <c r="A131" s="715" t="s">
        <v>6</v>
      </c>
      <c r="B131" s="720" t="s">
        <v>7</v>
      </c>
      <c r="C131" s="1004" t="s">
        <v>8</v>
      </c>
      <c r="D131" s="1005"/>
      <c r="E131" s="1270">
        <v>4</v>
      </c>
      <c r="F131" s="1271"/>
      <c r="G131" s="1271"/>
      <c r="H131" s="1248"/>
      <c r="I131" s="1017">
        <v>5</v>
      </c>
      <c r="J131" s="1004"/>
      <c r="K131" s="1004"/>
      <c r="L131" s="1005"/>
      <c r="M131" s="1052">
        <v>6</v>
      </c>
      <c r="N131" s="1004"/>
      <c r="O131" s="1004"/>
      <c r="P131" s="1005"/>
      <c r="Q131" s="531"/>
      <c r="R131" s="531"/>
      <c r="S131" s="531"/>
      <c r="T131" s="376"/>
    </row>
    <row r="132" spans="1:20" s="334" customFormat="1" ht="27.75" customHeight="1" x14ac:dyDescent="0.2">
      <c r="A132" s="486">
        <v>244</v>
      </c>
      <c r="B132" s="497" t="s">
        <v>6</v>
      </c>
      <c r="C132" s="1167" t="s">
        <v>742</v>
      </c>
      <c r="D132" s="1240"/>
      <c r="E132" s="1048">
        <f>E135</f>
        <v>0</v>
      </c>
      <c r="F132" s="1049"/>
      <c r="G132" s="1049"/>
      <c r="H132" s="1050"/>
      <c r="I132" s="990">
        <f>F135</f>
        <v>0</v>
      </c>
      <c r="J132" s="991"/>
      <c r="K132" s="991"/>
      <c r="L132" s="996"/>
      <c r="M132" s="1243">
        <f>G135</f>
        <v>0</v>
      </c>
      <c r="N132" s="991"/>
      <c r="O132" s="991"/>
      <c r="P132" s="996"/>
      <c r="Q132" s="523"/>
      <c r="R132" s="523"/>
      <c r="S132" s="523"/>
      <c r="T132" s="379"/>
    </row>
    <row r="133" spans="1:20" s="334" customFormat="1" ht="27.75" customHeight="1" x14ac:dyDescent="0.2">
      <c r="A133" s="452"/>
      <c r="B133" s="451"/>
      <c r="C133" s="1186"/>
      <c r="D133" s="1244"/>
      <c r="E133" s="1272"/>
      <c r="F133" s="1273"/>
      <c r="G133" s="1273"/>
      <c r="H133" s="1239"/>
      <c r="I133" s="1022"/>
      <c r="J133" s="1002"/>
      <c r="K133" s="1002"/>
      <c r="L133" s="1003"/>
      <c r="M133" s="1073"/>
      <c r="N133" s="1002"/>
      <c r="O133" s="1002"/>
      <c r="P133" s="1003"/>
      <c r="Q133" s="523"/>
      <c r="R133" s="523"/>
      <c r="S133" s="523"/>
      <c r="T133" s="379"/>
    </row>
    <row r="134" spans="1:20" s="334" customFormat="1" ht="27.75" customHeight="1" x14ac:dyDescent="0.2">
      <c r="A134" s="490"/>
      <c r="B134" s="455"/>
      <c r="C134" s="1182"/>
      <c r="D134" s="1265"/>
      <c r="E134" s="1274"/>
      <c r="F134" s="1275"/>
      <c r="G134" s="1275"/>
      <c r="H134" s="1149"/>
      <c r="I134" s="1242"/>
      <c r="J134" s="1070"/>
      <c r="K134" s="1070"/>
      <c r="L134" s="1075"/>
      <c r="M134" s="1074"/>
      <c r="N134" s="1070"/>
      <c r="O134" s="1070"/>
      <c r="P134" s="1075"/>
      <c r="Q134" s="523"/>
      <c r="R134" s="523"/>
      <c r="S134" s="523"/>
      <c r="T134" s="379"/>
    </row>
    <row r="135" spans="1:20" s="524" customFormat="1" ht="27.75" customHeight="1" x14ac:dyDescent="0.2">
      <c r="A135" s="508"/>
      <c r="B135" s="515"/>
      <c r="C135" s="1156" t="s">
        <v>611</v>
      </c>
      <c r="D135" s="1276"/>
      <c r="E135" s="1280">
        <f>SUMIFS(Титульный!$E$13:$E$157,Титульный!$A$13:$A$157,'Расходы КФО 4'!$Q135,Титульный!$B$13:$B$157,'Расходы КФО 4'!$R135,Титульный!$D$13:$D$157,'Расходы КФО 4'!$S135)</f>
        <v>0</v>
      </c>
      <c r="F135" s="1191">
        <f>SUMIFS(Титульный!$E$13:$E$157,Титульный!$A$13:$A$157,'Расходы КФО 4'!$Q135,Титульный!$B$13:$B$157,'Расходы КФО 4'!$R135,Титульный!$D$13:$D$157,'Расходы КФО 4'!$S135)</f>
        <v>0</v>
      </c>
      <c r="G135" s="1191">
        <f>SUMIFS(Титульный!$E$13:$E$157,Титульный!$A$13:$A$157,'Расходы КФО 4'!$Q135,Титульный!$B$13:$B$157,'Расходы КФО 4'!$R135,Титульный!$D$13:$D$157,'Расходы КФО 4'!$S135)</f>
        <v>0</v>
      </c>
      <c r="H135" s="1151">
        <f>SUMIFS(Титульный!$E$13:$E$157,Титульный!$A$13:$A$157,'Расходы КФО 4'!$Q135,Титульный!$B$13:$B$157,'Расходы КФО 4'!$R135,Титульный!$D$13:$D$157,'Расходы КФО 4'!$S135)</f>
        <v>0</v>
      </c>
      <c r="I135" s="1019">
        <f>SUMIFS(Титульный!$F$13:$F$157,Титульный!$A$13:$A$157,'Расходы КФО 4'!$Q135,Титульный!$B$13:$B$157,'Расходы КФО 4'!$R135,Титульный!$D$13:$D$157,'Расходы КФО 4'!$S135)</f>
        <v>0</v>
      </c>
      <c r="J135" s="1008">
        <f>SUMIFS(Титульный!$E$13:$E$157,Титульный!$A$13:$A$157,'Расходы КФО 4'!$Q135,Титульный!$B$13:$B$157,'Расходы КФО 4'!$R135,Титульный!$D$13:$D$157,'Расходы КФО 4'!$S135)</f>
        <v>0</v>
      </c>
      <c r="K135" s="1008">
        <f>SUMIFS(Титульный!$E$13:$E$157,Титульный!$A$13:$A$157,'Расходы КФО 4'!$Q135,Титульный!$B$13:$B$157,'Расходы КФО 4'!$R135,Титульный!$D$13:$D$157,'Расходы КФО 4'!$S135)</f>
        <v>0</v>
      </c>
      <c r="L135" s="1009">
        <f>SUMIFS(Титульный!$E$13:$E$157,Титульный!$A$13:$A$157,'Расходы КФО 4'!$Q135,Титульный!$B$13:$B$157,'Расходы КФО 4'!$R135,Титульный!$D$13:$D$157,'Расходы КФО 4'!$S135)</f>
        <v>0</v>
      </c>
      <c r="M135" s="1021">
        <f>SUMIFS(Титульный!$G$13:$G$157,Титульный!$A$13:$A$157,'Расходы КФО 4'!$Q135,Титульный!$B$13:$B$157,'Расходы КФО 4'!$R135,Титульный!$D$13:$D$157,'Расходы КФО 4'!$S135)</f>
        <v>0</v>
      </c>
      <c r="N135" s="1008">
        <f>SUMIFS(Титульный!$E$13:$E$157,Титульный!$A$13:$A$157,'Расходы КФО 4'!$Q135,Титульный!$B$13:$B$157,'Расходы КФО 4'!$R135,Титульный!$D$13:$D$157,'Расходы КФО 4'!$S135)</f>
        <v>0</v>
      </c>
      <c r="O135" s="1008">
        <f>SUMIFS(Титульный!$E$13:$E$157,Титульный!$A$13:$A$157,'Расходы КФО 4'!$Q135,Титульный!$B$13:$B$157,'Расходы КФО 4'!$R135,Титульный!$D$13:$D$157,'Расходы КФО 4'!$S135)</f>
        <v>0</v>
      </c>
      <c r="P135" s="1009">
        <f>SUMIFS(Титульный!$E$13:$E$157,Титульный!$A$13:$A$157,'Расходы КФО 4'!$Q135,Титульный!$B$13:$B$157,'Расходы КФО 4'!$R135,Титульный!$D$13:$D$157,'Расходы КФО 4'!$S135)</f>
        <v>0</v>
      </c>
      <c r="Q135" s="523">
        <v>4</v>
      </c>
      <c r="R135" s="523">
        <v>244</v>
      </c>
      <c r="S135" s="523">
        <v>227</v>
      </c>
      <c r="T135" s="523"/>
    </row>
    <row r="136" spans="1:20" s="374" customFormat="1" ht="12" customHeight="1" x14ac:dyDescent="0.2">
      <c r="B136" s="506"/>
      <c r="Q136" s="531"/>
      <c r="R136" s="531"/>
      <c r="S136" s="531"/>
      <c r="T136" s="376"/>
    </row>
    <row r="137" spans="1:20" s="374" customFormat="1" ht="12" customHeight="1" x14ac:dyDescent="0.2">
      <c r="B137" s="506"/>
      <c r="Q137" s="531"/>
      <c r="R137" s="531"/>
      <c r="S137" s="531"/>
      <c r="T137" s="376"/>
    </row>
    <row r="138" spans="1:20" s="374" customFormat="1" ht="12" customHeight="1" x14ac:dyDescent="0.2">
      <c r="B138" s="506"/>
      <c r="Q138" s="531"/>
      <c r="R138" s="531"/>
      <c r="S138" s="531"/>
      <c r="T138" s="376"/>
    </row>
    <row r="139" spans="1:20" s="449" customFormat="1" ht="27.75" customHeight="1" x14ac:dyDescent="0.2">
      <c r="A139" s="989" t="s">
        <v>641</v>
      </c>
      <c r="B139" s="989"/>
      <c r="C139" s="989"/>
      <c r="D139" s="989"/>
      <c r="E139" s="989"/>
      <c r="F139" s="989"/>
      <c r="G139" s="989"/>
      <c r="H139" s="989"/>
      <c r="I139" s="989"/>
      <c r="J139" s="989"/>
      <c r="K139" s="989"/>
      <c r="L139" s="989"/>
      <c r="M139" s="989"/>
      <c r="N139" s="989"/>
      <c r="O139" s="989"/>
      <c r="P139" s="989"/>
      <c r="Q139" s="523"/>
      <c r="R139" s="523"/>
      <c r="S139" s="523"/>
      <c r="T139" s="448"/>
    </row>
    <row r="140" spans="1:20" s="374" customFormat="1" ht="12" customHeight="1" x14ac:dyDescent="0.2">
      <c r="B140" s="506"/>
      <c r="Q140" s="531"/>
      <c r="R140" s="531"/>
      <c r="S140" s="531"/>
      <c r="T140" s="376"/>
    </row>
    <row r="141" spans="1:20" s="374" customFormat="1" ht="33.75" customHeight="1" x14ac:dyDescent="0.2">
      <c r="A141" s="1034" t="s">
        <v>598</v>
      </c>
      <c r="B141" s="1000" t="s">
        <v>484</v>
      </c>
      <c r="C141" s="1208" t="s">
        <v>610</v>
      </c>
      <c r="D141" s="1064"/>
      <c r="E141" s="1138" t="s">
        <v>831</v>
      </c>
      <c r="F141" s="1139"/>
      <c r="G141" s="1139"/>
      <c r="H141" s="1140"/>
      <c r="I141" s="1179" t="s">
        <v>825</v>
      </c>
      <c r="J141" s="1180"/>
      <c r="K141" s="1180"/>
      <c r="L141" s="1181"/>
      <c r="M141" s="1190" t="s">
        <v>823</v>
      </c>
      <c r="N141" s="1180"/>
      <c r="O141" s="1180"/>
      <c r="P141" s="1181"/>
      <c r="Q141" s="531"/>
      <c r="R141" s="531"/>
      <c r="S141" s="531"/>
      <c r="T141" s="376"/>
    </row>
    <row r="142" spans="1:20" s="374" customFormat="1" ht="38.25" x14ac:dyDescent="0.2">
      <c r="A142" s="1035"/>
      <c r="B142" s="1036"/>
      <c r="C142" s="1214"/>
      <c r="D142" s="1066"/>
      <c r="E142" s="399" t="s">
        <v>635</v>
      </c>
      <c r="F142" s="401" t="s">
        <v>636</v>
      </c>
      <c r="G142" s="1241" t="s">
        <v>553</v>
      </c>
      <c r="H142" s="1204"/>
      <c r="I142" s="399" t="s">
        <v>635</v>
      </c>
      <c r="J142" s="401" t="s">
        <v>636</v>
      </c>
      <c r="K142" s="1241" t="s">
        <v>553</v>
      </c>
      <c r="L142" s="1204"/>
      <c r="M142" s="399" t="s">
        <v>635</v>
      </c>
      <c r="N142" s="401" t="s">
        <v>636</v>
      </c>
      <c r="O142" s="1241" t="s">
        <v>553</v>
      </c>
      <c r="P142" s="1204"/>
      <c r="Q142" s="531"/>
      <c r="R142" s="531"/>
      <c r="S142" s="531"/>
      <c r="T142" s="376"/>
    </row>
    <row r="143" spans="1:20" s="374" customFormat="1" x14ac:dyDescent="0.2">
      <c r="A143" s="718" t="s">
        <v>6</v>
      </c>
      <c r="B143" s="442" t="s">
        <v>7</v>
      </c>
      <c r="C143" s="1004" t="s">
        <v>8</v>
      </c>
      <c r="D143" s="1005"/>
      <c r="E143" s="419">
        <v>4</v>
      </c>
      <c r="F143" s="398">
        <v>5</v>
      </c>
      <c r="G143" s="1004" t="s">
        <v>784</v>
      </c>
      <c r="H143" s="1005"/>
      <c r="I143" s="419">
        <v>7</v>
      </c>
      <c r="J143" s="398">
        <v>8</v>
      </c>
      <c r="K143" s="1004" t="s">
        <v>785</v>
      </c>
      <c r="L143" s="1005"/>
      <c r="M143" s="419" t="s">
        <v>463</v>
      </c>
      <c r="N143" s="398" t="s">
        <v>468</v>
      </c>
      <c r="O143" s="1004" t="s">
        <v>556</v>
      </c>
      <c r="P143" s="1005"/>
      <c r="Q143" s="531"/>
      <c r="R143" s="531"/>
      <c r="S143" s="531"/>
      <c r="T143" s="376"/>
    </row>
    <row r="144" spans="1:20" s="334" customFormat="1" ht="27.75" customHeight="1" x14ac:dyDescent="0.2">
      <c r="A144" s="475">
        <v>244</v>
      </c>
      <c r="B144" s="476">
        <v>1</v>
      </c>
      <c r="C144" s="1167"/>
      <c r="D144" s="1240"/>
      <c r="E144" s="465"/>
      <c r="F144" s="580"/>
      <c r="G144" s="1002">
        <f>Титульный!E85</f>
        <v>0</v>
      </c>
      <c r="H144" s="1003"/>
      <c r="I144" s="465"/>
      <c r="J144" s="580"/>
      <c r="K144" s="1002">
        <f>Титульный!F85</f>
        <v>0</v>
      </c>
      <c r="L144" s="1003"/>
      <c r="M144" s="465"/>
      <c r="N144" s="580"/>
      <c r="O144" s="1002">
        <f>Титульный!G85</f>
        <v>0</v>
      </c>
      <c r="P144" s="1003"/>
      <c r="Q144" s="523"/>
      <c r="R144" s="523"/>
      <c r="S144" s="523"/>
      <c r="T144" s="379"/>
    </row>
    <row r="145" spans="1:20" s="334" customFormat="1" ht="27.75" customHeight="1" x14ac:dyDescent="0.2">
      <c r="A145" s="452">
        <v>244</v>
      </c>
      <c r="B145" s="451">
        <v>2</v>
      </c>
      <c r="C145" s="1186"/>
      <c r="D145" s="1244"/>
      <c r="E145" s="465"/>
      <c r="F145" s="580"/>
      <c r="G145" s="1002"/>
      <c r="H145" s="1003"/>
      <c r="I145" s="465"/>
      <c r="J145" s="580"/>
      <c r="K145" s="1002"/>
      <c r="L145" s="1003"/>
      <c r="M145" s="465"/>
      <c r="N145" s="580"/>
      <c r="O145" s="1002"/>
      <c r="P145" s="1003"/>
      <c r="Q145" s="523"/>
      <c r="R145" s="523"/>
      <c r="S145" s="523"/>
      <c r="T145" s="379"/>
    </row>
    <row r="146" spans="1:20" s="334" customFormat="1" ht="27.75" customHeight="1" x14ac:dyDescent="0.2">
      <c r="A146" s="493">
        <v>244</v>
      </c>
      <c r="B146" s="496">
        <v>3</v>
      </c>
      <c r="C146" s="1182"/>
      <c r="D146" s="1265"/>
      <c r="E146" s="469"/>
      <c r="F146" s="665"/>
      <c r="G146" s="1070"/>
      <c r="H146" s="1075"/>
      <c r="I146" s="469"/>
      <c r="J146" s="665"/>
      <c r="K146" s="1070"/>
      <c r="L146" s="1075"/>
      <c r="M146" s="469"/>
      <c r="N146" s="665"/>
      <c r="O146" s="1070"/>
      <c r="P146" s="1075"/>
      <c r="Q146" s="523"/>
      <c r="R146" s="523"/>
      <c r="S146" s="523"/>
      <c r="T146" s="379"/>
    </row>
    <row r="147" spans="1:20" s="524" customFormat="1" ht="27.75" customHeight="1" x14ac:dyDescent="0.2">
      <c r="A147" s="517"/>
      <c r="B147" s="522"/>
      <c r="C147" s="1249" t="s">
        <v>611</v>
      </c>
      <c r="D147" s="1250"/>
      <c r="E147" s="512" t="s">
        <v>462</v>
      </c>
      <c r="F147" s="511" t="s">
        <v>462</v>
      </c>
      <c r="G147" s="1008">
        <f>SUMIFS(Титульный!$E$13:$E$157,Титульный!$A$13:$A$157,'Расходы КФО 4'!$Q147,Титульный!$B$13:$B$157,'Расходы КФО 4'!$R147,Титульный!$D$13:$D$157,'Расходы КФО 4'!$S147)</f>
        <v>0</v>
      </c>
      <c r="H147" s="1009">
        <f>SUMIFS(Титульный!$E$13:$E$157,Титульный!$A$13:$A$157,'Расходы КФО 4'!$Q147,Титульный!$B$13:$B$157,'Расходы КФО 4'!$R147,Титульный!$D$13:$D$157,'Расходы КФО 4'!$S147)</f>
        <v>0</v>
      </c>
      <c r="I147" s="512" t="s">
        <v>462</v>
      </c>
      <c r="J147" s="511" t="s">
        <v>462</v>
      </c>
      <c r="K147" s="1008">
        <f>SUMIFS(Титульный!$F$13:$F$157,
Титульный!$A$13:$A$157,'Расходы КФО 4'!$Q147,
Титульный!$B$13:$B$157,'Расходы КФО 4'!$R147,
Титульный!$D$13:$D$157,'Расходы КФО 4'!$S147)</f>
        <v>0</v>
      </c>
      <c r="L147" s="1009">
        <f>SUMIFS(Титульный!$F$13:$F$157,
Титульный!$A$13:$A$157,'Расходы КФО 4'!$Q147,
Титульный!$B$13:$B$157,'Расходы КФО 4'!$R147,
Титульный!$D$13:$D$157,'Расходы КФО 4'!$S147)</f>
        <v>0</v>
      </c>
      <c r="M147" s="512" t="s">
        <v>462</v>
      </c>
      <c r="N147" s="511" t="s">
        <v>462</v>
      </c>
      <c r="O147" s="1008">
        <f>SUMIFS(Титульный!$G$13:$G$157,
Титульный!$A$13:$A$157,'Расходы КФО 4'!$Q147,
Титульный!$B$13:$B$157,'Расходы КФО 4'!$R147,
Титульный!$D$13:$D$157,'Расходы КФО 4'!$S147)</f>
        <v>0</v>
      </c>
      <c r="P147" s="1009">
        <f>SUMIFS(Титульный!$G$13:$G$157,
Титульный!$A$13:$A$157,'Расходы КФО 4'!$Q147,
Титульный!$B$13:$B$157,'Расходы КФО 4'!$R147,
Титульный!$D$13:$D$157,'Расходы КФО 4'!$S147)</f>
        <v>0</v>
      </c>
      <c r="Q147" s="523">
        <v>4</v>
      </c>
      <c r="R147" s="523">
        <v>244</v>
      </c>
      <c r="S147" s="523">
        <v>228</v>
      </c>
      <c r="T147" s="523"/>
    </row>
    <row r="148" spans="1:20" s="374" customFormat="1" ht="12" customHeight="1" x14ac:dyDescent="0.2">
      <c r="B148" s="506"/>
      <c r="Q148" s="531"/>
      <c r="R148" s="531"/>
      <c r="S148" s="531"/>
      <c r="T148" s="376"/>
    </row>
    <row r="149" spans="1:20" s="374" customFormat="1" ht="12" customHeight="1" x14ac:dyDescent="0.2">
      <c r="B149" s="506"/>
      <c r="Q149" s="531"/>
      <c r="R149" s="531"/>
      <c r="S149" s="531"/>
      <c r="T149" s="376"/>
    </row>
    <row r="150" spans="1:20" s="374" customFormat="1" ht="12" customHeight="1" x14ac:dyDescent="0.2">
      <c r="B150" s="506"/>
      <c r="Q150" s="531"/>
      <c r="R150" s="531"/>
      <c r="S150" s="531"/>
      <c r="T150" s="376"/>
    </row>
    <row r="151" spans="1:20" s="449" customFormat="1" ht="27.75" customHeight="1" x14ac:dyDescent="0.2">
      <c r="A151" s="989" t="s">
        <v>642</v>
      </c>
      <c r="B151" s="989"/>
      <c r="C151" s="989"/>
      <c r="D151" s="989"/>
      <c r="E151" s="989"/>
      <c r="F151" s="989"/>
      <c r="G151" s="989"/>
      <c r="H151" s="989"/>
      <c r="I151" s="989"/>
      <c r="J151" s="989"/>
      <c r="K151" s="989"/>
      <c r="L151" s="989"/>
      <c r="M151" s="989"/>
      <c r="N151" s="989"/>
      <c r="O151" s="989"/>
      <c r="P151" s="989"/>
      <c r="Q151" s="523"/>
      <c r="R151" s="523"/>
      <c r="S151" s="523"/>
      <c r="T151" s="448"/>
    </row>
    <row r="152" spans="1:20" s="426" customFormat="1" ht="12" customHeight="1" x14ac:dyDescent="0.2">
      <c r="B152" s="506"/>
      <c r="Q152" s="531"/>
      <c r="R152" s="531"/>
      <c r="S152" s="531"/>
      <c r="T152" s="376"/>
    </row>
    <row r="153" spans="1:20" s="426" customFormat="1" ht="33" customHeight="1" x14ac:dyDescent="0.2">
      <c r="A153" s="1034" t="s">
        <v>598</v>
      </c>
      <c r="B153" s="1000" t="s">
        <v>484</v>
      </c>
      <c r="C153" s="1208" t="s">
        <v>610</v>
      </c>
      <c r="D153" s="1064"/>
      <c r="E153" s="1138" t="s">
        <v>831</v>
      </c>
      <c r="F153" s="1139"/>
      <c r="G153" s="1139"/>
      <c r="H153" s="1140"/>
      <c r="I153" s="1179" t="s">
        <v>825</v>
      </c>
      <c r="J153" s="1180"/>
      <c r="K153" s="1180"/>
      <c r="L153" s="1181"/>
      <c r="M153" s="1190" t="s">
        <v>823</v>
      </c>
      <c r="N153" s="1180"/>
      <c r="O153" s="1180"/>
      <c r="P153" s="1181"/>
      <c r="Q153" s="531"/>
      <c r="R153" s="531"/>
      <c r="S153" s="531"/>
      <c r="T153" s="376"/>
    </row>
    <row r="154" spans="1:20" s="426" customFormat="1" ht="38.25" x14ac:dyDescent="0.2">
      <c r="A154" s="1035"/>
      <c r="B154" s="1036"/>
      <c r="C154" s="1214"/>
      <c r="D154" s="1066"/>
      <c r="E154" s="399" t="s">
        <v>797</v>
      </c>
      <c r="F154" s="433" t="s">
        <v>798</v>
      </c>
      <c r="G154" s="1241" t="s">
        <v>553</v>
      </c>
      <c r="H154" s="1204"/>
      <c r="I154" s="399" t="s">
        <v>797</v>
      </c>
      <c r="J154" s="433" t="s">
        <v>798</v>
      </c>
      <c r="K154" s="1241" t="s">
        <v>553</v>
      </c>
      <c r="L154" s="1204"/>
      <c r="M154" s="399" t="s">
        <v>797</v>
      </c>
      <c r="N154" s="433" t="s">
        <v>798</v>
      </c>
      <c r="O154" s="1241" t="s">
        <v>553</v>
      </c>
      <c r="P154" s="1204"/>
      <c r="Q154" s="531"/>
      <c r="R154" s="531"/>
      <c r="S154" s="531"/>
      <c r="T154" s="376"/>
    </row>
    <row r="155" spans="1:20" s="426" customFormat="1" x14ac:dyDescent="0.2">
      <c r="A155" s="387" t="s">
        <v>6</v>
      </c>
      <c r="B155" s="732" t="s">
        <v>7</v>
      </c>
      <c r="C155" s="1004" t="s">
        <v>8</v>
      </c>
      <c r="D155" s="1005"/>
      <c r="E155" s="419">
        <v>4</v>
      </c>
      <c r="F155" s="398">
        <v>5</v>
      </c>
      <c r="G155" s="1004" t="s">
        <v>784</v>
      </c>
      <c r="H155" s="1005"/>
      <c r="I155" s="419">
        <v>7</v>
      </c>
      <c r="J155" s="398">
        <v>8</v>
      </c>
      <c r="K155" s="1004" t="s">
        <v>785</v>
      </c>
      <c r="L155" s="1005"/>
      <c r="M155" s="419" t="s">
        <v>463</v>
      </c>
      <c r="N155" s="398" t="s">
        <v>468</v>
      </c>
      <c r="O155" s="1004" t="s">
        <v>556</v>
      </c>
      <c r="P155" s="1005"/>
      <c r="Q155" s="531"/>
      <c r="R155" s="531"/>
      <c r="S155" s="531"/>
      <c r="T155" s="376"/>
    </row>
    <row r="156" spans="1:20" s="334" customFormat="1" ht="27.75" customHeight="1" x14ac:dyDescent="0.2">
      <c r="A156" s="475">
        <v>244</v>
      </c>
      <c r="B156" s="504">
        <v>1</v>
      </c>
      <c r="C156" s="1167" t="s">
        <v>743</v>
      </c>
      <c r="D156" s="1240"/>
      <c r="E156" s="465">
        <v>750</v>
      </c>
      <c r="F156" s="580">
        <v>1400</v>
      </c>
      <c r="G156" s="1147">
        <f>E156*F156</f>
        <v>1050000</v>
      </c>
      <c r="H156" s="1050"/>
      <c r="I156" s="465"/>
      <c r="J156" s="580"/>
      <c r="K156" s="1002">
        <f>I156*J156</f>
        <v>0</v>
      </c>
      <c r="L156" s="1003"/>
      <c r="M156" s="465"/>
      <c r="N156" s="580"/>
      <c r="O156" s="1002">
        <f>M156*N156</f>
        <v>0</v>
      </c>
      <c r="P156" s="1003"/>
      <c r="Q156" s="523"/>
      <c r="R156" s="523"/>
      <c r="S156" s="523"/>
      <c r="T156" s="379"/>
    </row>
    <row r="157" spans="1:20" s="334" customFormat="1" ht="33.6" customHeight="1" x14ac:dyDescent="0.2">
      <c r="A157" s="452">
        <v>244</v>
      </c>
      <c r="B157" s="450">
        <v>2</v>
      </c>
      <c r="C157" s="1167" t="s">
        <v>744</v>
      </c>
      <c r="D157" s="1240"/>
      <c r="E157" s="465">
        <v>10</v>
      </c>
      <c r="F157" s="580">
        <v>27665.5</v>
      </c>
      <c r="G157" s="1238">
        <f t="shared" ref="G157:G164" si="12">E157*F157</f>
        <v>276655</v>
      </c>
      <c r="H157" s="1239"/>
      <c r="I157" s="465"/>
      <c r="J157" s="580"/>
      <c r="K157" s="1238">
        <f t="shared" ref="K157:K164" si="13">I157*J157</f>
        <v>0</v>
      </c>
      <c r="L157" s="1239"/>
      <c r="M157" s="465"/>
      <c r="N157" s="580"/>
      <c r="O157" s="1238">
        <f t="shared" ref="O157:O164" si="14">M157*N157</f>
        <v>0</v>
      </c>
      <c r="P157" s="1239"/>
      <c r="Q157" s="523"/>
      <c r="R157" s="523"/>
      <c r="S157" s="523"/>
      <c r="T157" s="379"/>
    </row>
    <row r="158" spans="1:20" s="334" customFormat="1" ht="27.75" customHeight="1" x14ac:dyDescent="0.2">
      <c r="A158" s="452">
        <v>244</v>
      </c>
      <c r="B158" s="450">
        <v>3</v>
      </c>
      <c r="C158" s="1167" t="s">
        <v>745</v>
      </c>
      <c r="D158" s="1240"/>
      <c r="E158" s="465"/>
      <c r="F158" s="580"/>
      <c r="G158" s="1238">
        <f t="shared" si="12"/>
        <v>0</v>
      </c>
      <c r="H158" s="1239"/>
      <c r="I158" s="465"/>
      <c r="J158" s="580"/>
      <c r="K158" s="1238">
        <f t="shared" si="13"/>
        <v>0</v>
      </c>
      <c r="L158" s="1239"/>
      <c r="M158" s="465"/>
      <c r="N158" s="580"/>
      <c r="O158" s="1238">
        <f t="shared" si="14"/>
        <v>0</v>
      </c>
      <c r="P158" s="1239"/>
      <c r="Q158" s="523"/>
      <c r="R158" s="523"/>
      <c r="S158" s="523"/>
      <c r="T158" s="379"/>
    </row>
    <row r="159" spans="1:20" s="334" customFormat="1" ht="27.75" customHeight="1" x14ac:dyDescent="0.2">
      <c r="A159" s="452">
        <v>244</v>
      </c>
      <c r="B159" s="450">
        <v>4</v>
      </c>
      <c r="C159" s="1167" t="s">
        <v>746</v>
      </c>
      <c r="D159" s="1240"/>
      <c r="E159" s="465">
        <v>3</v>
      </c>
      <c r="F159" s="580">
        <v>120000</v>
      </c>
      <c r="G159" s="1238">
        <f t="shared" si="12"/>
        <v>360000</v>
      </c>
      <c r="H159" s="1239"/>
      <c r="I159" s="465"/>
      <c r="J159" s="580"/>
      <c r="K159" s="1238">
        <f t="shared" si="13"/>
        <v>0</v>
      </c>
      <c r="L159" s="1239"/>
      <c r="M159" s="465"/>
      <c r="N159" s="580"/>
      <c r="O159" s="1238">
        <f t="shared" si="14"/>
        <v>0</v>
      </c>
      <c r="P159" s="1239"/>
      <c r="Q159" s="523"/>
      <c r="R159" s="523"/>
      <c r="S159" s="523"/>
      <c r="T159" s="379"/>
    </row>
    <row r="160" spans="1:20" s="334" customFormat="1" ht="27.75" customHeight="1" x14ac:dyDescent="0.2">
      <c r="A160" s="452">
        <v>244</v>
      </c>
      <c r="B160" s="450">
        <v>5</v>
      </c>
      <c r="C160" s="1167" t="s">
        <v>812</v>
      </c>
      <c r="D160" s="1240"/>
      <c r="E160" s="711">
        <v>2</v>
      </c>
      <c r="F160" s="712">
        <v>15000</v>
      </c>
      <c r="G160" s="1238">
        <f t="shared" ref="G160" si="15">E160*F160</f>
        <v>30000</v>
      </c>
      <c r="H160" s="1239"/>
      <c r="I160" s="711"/>
      <c r="J160" s="712"/>
      <c r="K160" s="1238">
        <f t="shared" ref="K160" si="16">I160*J160</f>
        <v>0</v>
      </c>
      <c r="L160" s="1239"/>
      <c r="M160" s="711"/>
      <c r="N160" s="712"/>
      <c r="O160" s="1238">
        <f t="shared" ref="O160" si="17">M160*N160</f>
        <v>0</v>
      </c>
      <c r="P160" s="1239"/>
      <c r="Q160" s="523"/>
      <c r="R160" s="523"/>
      <c r="S160" s="523"/>
      <c r="T160" s="379"/>
    </row>
    <row r="161" spans="1:20" s="334" customFormat="1" ht="27.75" customHeight="1" x14ac:dyDescent="0.2">
      <c r="A161" s="452">
        <v>244</v>
      </c>
      <c r="B161" s="450">
        <v>6</v>
      </c>
      <c r="C161" s="1167" t="s">
        <v>747</v>
      </c>
      <c r="D161" s="1240"/>
      <c r="E161" s="465"/>
      <c r="F161" s="580"/>
      <c r="G161" s="1238">
        <f t="shared" si="12"/>
        <v>0</v>
      </c>
      <c r="H161" s="1239"/>
      <c r="I161" s="465"/>
      <c r="J161" s="580"/>
      <c r="K161" s="1238">
        <f t="shared" si="13"/>
        <v>0</v>
      </c>
      <c r="L161" s="1239"/>
      <c r="M161" s="465"/>
      <c r="N161" s="580"/>
      <c r="O161" s="1238">
        <f t="shared" si="14"/>
        <v>0</v>
      </c>
      <c r="P161" s="1239"/>
      <c r="Q161" s="523"/>
      <c r="R161" s="523"/>
      <c r="S161" s="523"/>
      <c r="T161" s="379"/>
    </row>
    <row r="162" spans="1:20" s="334" customFormat="1" ht="27.75" customHeight="1" x14ac:dyDescent="0.2">
      <c r="A162" s="452">
        <v>244</v>
      </c>
      <c r="B162" s="450">
        <v>7</v>
      </c>
      <c r="C162" s="1167" t="s">
        <v>748</v>
      </c>
      <c r="D162" s="1240"/>
      <c r="E162" s="465"/>
      <c r="F162" s="580"/>
      <c r="G162" s="1238">
        <f t="shared" si="12"/>
        <v>0</v>
      </c>
      <c r="H162" s="1239"/>
      <c r="I162" s="465"/>
      <c r="J162" s="580"/>
      <c r="K162" s="1238">
        <f t="shared" si="13"/>
        <v>0</v>
      </c>
      <c r="L162" s="1239"/>
      <c r="M162" s="465"/>
      <c r="N162" s="580"/>
      <c r="O162" s="1238">
        <f t="shared" si="14"/>
        <v>0</v>
      </c>
      <c r="P162" s="1239"/>
      <c r="Q162" s="523"/>
      <c r="R162" s="523"/>
      <c r="S162" s="523"/>
      <c r="T162" s="379"/>
    </row>
    <row r="163" spans="1:20" s="334" customFormat="1" ht="27.75" customHeight="1" x14ac:dyDescent="0.2">
      <c r="A163" s="452">
        <v>244</v>
      </c>
      <c r="B163" s="450">
        <v>8</v>
      </c>
      <c r="C163" s="1167" t="s">
        <v>749</v>
      </c>
      <c r="D163" s="1240"/>
      <c r="E163" s="465">
        <v>2</v>
      </c>
      <c r="F163" s="580">
        <v>1300</v>
      </c>
      <c r="G163" s="1238">
        <f t="shared" si="12"/>
        <v>2600</v>
      </c>
      <c r="H163" s="1239"/>
      <c r="I163" s="465"/>
      <c r="J163" s="580"/>
      <c r="K163" s="1238">
        <f t="shared" si="13"/>
        <v>0</v>
      </c>
      <c r="L163" s="1239"/>
      <c r="M163" s="465"/>
      <c r="N163" s="580"/>
      <c r="O163" s="1238">
        <f t="shared" si="14"/>
        <v>0</v>
      </c>
      <c r="P163" s="1239"/>
      <c r="Q163" s="523"/>
      <c r="R163" s="523"/>
      <c r="S163" s="523"/>
      <c r="T163" s="379"/>
    </row>
    <row r="164" spans="1:20" s="334" customFormat="1" ht="27.75" customHeight="1" x14ac:dyDescent="0.2">
      <c r="A164" s="452">
        <v>244</v>
      </c>
      <c r="B164" s="450">
        <v>9</v>
      </c>
      <c r="C164" s="1167" t="s">
        <v>750</v>
      </c>
      <c r="D164" s="1240"/>
      <c r="E164" s="465">
        <v>3</v>
      </c>
      <c r="F164" s="580">
        <v>7000</v>
      </c>
      <c r="G164" s="1238">
        <f t="shared" si="12"/>
        <v>21000</v>
      </c>
      <c r="H164" s="1239"/>
      <c r="I164" s="465"/>
      <c r="J164" s="580"/>
      <c r="K164" s="1238">
        <f t="shared" si="13"/>
        <v>0</v>
      </c>
      <c r="L164" s="1239"/>
      <c r="M164" s="465"/>
      <c r="N164" s="580"/>
      <c r="O164" s="1238">
        <f t="shared" si="14"/>
        <v>0</v>
      </c>
      <c r="P164" s="1239"/>
      <c r="Q164" s="523"/>
      <c r="R164" s="523"/>
      <c r="S164" s="523"/>
      <c r="T164" s="379"/>
    </row>
    <row r="165" spans="1:20" s="334" customFormat="1" ht="27.75" customHeight="1" x14ac:dyDescent="0.2">
      <c r="A165" s="493">
        <v>244</v>
      </c>
      <c r="B165" s="502">
        <v>10</v>
      </c>
      <c r="C165" s="1167" t="s">
        <v>751</v>
      </c>
      <c r="D165" s="1240"/>
      <c r="E165" s="711">
        <f>ROUNDUP(G165/12000,0)</f>
        <v>-29</v>
      </c>
      <c r="F165" s="712">
        <f>IFERROR(ROUND(G165/E165,2),0)</f>
        <v>11732.93</v>
      </c>
      <c r="G165" s="1148">
        <f>G166-SUM(G156:H164)</f>
        <v>-340255</v>
      </c>
      <c r="H165" s="1149"/>
      <c r="I165" s="465"/>
      <c r="J165" s="580"/>
      <c r="K165" s="1002">
        <f>K166-SUM(K156:L164)</f>
        <v>1423214</v>
      </c>
      <c r="L165" s="1003"/>
      <c r="M165" s="465"/>
      <c r="N165" s="580"/>
      <c r="O165" s="1002">
        <f>O166-SUM(O156:P164)</f>
        <v>1423214</v>
      </c>
      <c r="P165" s="1003"/>
      <c r="Q165" s="523"/>
      <c r="R165" s="523"/>
      <c r="S165" s="523"/>
      <c r="T165" s="379"/>
    </row>
    <row r="166" spans="1:20" s="524" customFormat="1" ht="27.75" customHeight="1" x14ac:dyDescent="0.2">
      <c r="A166" s="508"/>
      <c r="B166" s="515"/>
      <c r="C166" s="1249" t="s">
        <v>611</v>
      </c>
      <c r="D166" s="1250"/>
      <c r="E166" s="512" t="s">
        <v>462</v>
      </c>
      <c r="F166" s="511" t="s">
        <v>462</v>
      </c>
      <c r="G166" s="1008">
        <f>SUMIFS(Титульный!$E$13:$E$157,Титульный!$A$13:$A$157,'Расходы КФО 4'!$Q166,Титульный!$B$13:$B$157,'Расходы КФО 4'!$R166,Титульный!$D$13:$D$157,'Расходы КФО 4'!$S166)</f>
        <v>1400000</v>
      </c>
      <c r="H166" s="1009">
        <f>SUMIFS(Титульный!$E$13:$E$157,Титульный!$A$13:$A$157,'Расходы КФО 2'!$Q164,Титульный!$B$13:$B$157,'Расходы КФО 2'!$R164,Титульный!$D$13:$D$157,'Расходы КФО 2'!$S164)</f>
        <v>760000</v>
      </c>
      <c r="I166" s="512" t="s">
        <v>462</v>
      </c>
      <c r="J166" s="511" t="s">
        <v>462</v>
      </c>
      <c r="K166" s="1008">
        <f>SUMIFS(Титульный!$F$13:$F$157,
Титульный!$A$13:$A$157,'Расходы КФО 4'!$Q166,
Титульный!$B$13:$B$157,'Расходы КФО 4'!$R166,
Титульный!$D$13:$D$157,'Расходы КФО 4'!$S166)</f>
        <v>1423214</v>
      </c>
      <c r="L166" s="1009">
        <f>SUMIFS(Титульный!$F$13:$F$157,
Титульный!$A$13:$A$157,'Расходы КФО 2'!$Q164,
Титульный!$B$13:$B$157,'Расходы КФО 2'!$R164,
Титульный!$D$13:$D$157,'Расходы КФО 2'!$S164)</f>
        <v>760000</v>
      </c>
      <c r="M166" s="512" t="s">
        <v>462</v>
      </c>
      <c r="N166" s="511" t="s">
        <v>462</v>
      </c>
      <c r="O166" s="1008">
        <f>SUMIFS(Титульный!$G$13:$G$157,
Титульный!$A$13:$A$157,'Расходы КФО 4'!$Q166,
Титульный!$B$13:$B$157,'Расходы КФО 4'!$R166,
Титульный!$D$13:$D$157,'Расходы КФО 4'!$S166)</f>
        <v>1423214</v>
      </c>
      <c r="P166" s="1009">
        <f>SUMIFS(Титульный!$G$13:$G$157,
Титульный!$A$13:$A$157,'Расходы КФО 2'!$Q164,
Титульный!$B$13:$B$157,'Расходы КФО 2'!$R164,
Титульный!$D$13:$D$157,'Расходы КФО 2'!$S164)</f>
        <v>760000</v>
      </c>
      <c r="Q166" s="523">
        <v>4</v>
      </c>
      <c r="R166" s="523">
        <v>244</v>
      </c>
      <c r="S166" s="523">
        <v>310</v>
      </c>
      <c r="T166" s="523"/>
    </row>
    <row r="167" spans="1:20" s="426" customFormat="1" ht="12" customHeight="1" x14ac:dyDescent="0.2">
      <c r="B167" s="506"/>
      <c r="Q167" s="531"/>
      <c r="R167" s="531"/>
      <c r="S167" s="531"/>
      <c r="T167" s="376"/>
    </row>
    <row r="168" spans="1:20" s="426" customFormat="1" ht="12" customHeight="1" x14ac:dyDescent="0.2">
      <c r="B168" s="506"/>
      <c r="Q168" s="531"/>
      <c r="R168" s="531"/>
      <c r="S168" s="531"/>
      <c r="T168" s="376"/>
    </row>
    <row r="169" spans="1:20" s="426" customFormat="1" ht="12" customHeight="1" x14ac:dyDescent="0.2">
      <c r="B169" s="506"/>
      <c r="Q169" s="531"/>
      <c r="R169" s="531"/>
      <c r="S169" s="531"/>
      <c r="T169" s="376"/>
    </row>
    <row r="170" spans="1:20" s="449" customFormat="1" ht="27.75" customHeight="1" x14ac:dyDescent="0.2">
      <c r="A170" s="989" t="s">
        <v>643</v>
      </c>
      <c r="B170" s="989"/>
      <c r="C170" s="989"/>
      <c r="D170" s="989"/>
      <c r="E170" s="989"/>
      <c r="F170" s="989"/>
      <c r="G170" s="989"/>
      <c r="H170" s="989"/>
      <c r="I170" s="989"/>
      <c r="J170" s="989"/>
      <c r="K170" s="989"/>
      <c r="L170" s="989"/>
      <c r="M170" s="989"/>
      <c r="N170" s="989"/>
      <c r="O170" s="989"/>
      <c r="P170" s="989"/>
      <c r="Q170" s="523"/>
      <c r="R170" s="523"/>
      <c r="S170" s="523"/>
      <c r="T170" s="448"/>
    </row>
    <row r="171" spans="1:20" s="426" customFormat="1" ht="12" customHeight="1" x14ac:dyDescent="0.2">
      <c r="B171" s="506"/>
      <c r="Q171" s="531"/>
      <c r="R171" s="531"/>
      <c r="S171" s="531"/>
      <c r="T171" s="376"/>
    </row>
    <row r="172" spans="1:20" s="426" customFormat="1" ht="33" customHeight="1" x14ac:dyDescent="0.2">
      <c r="A172" s="1034" t="s">
        <v>598</v>
      </c>
      <c r="B172" s="1000" t="s">
        <v>484</v>
      </c>
      <c r="C172" s="1208" t="s">
        <v>0</v>
      </c>
      <c r="D172" s="1064" t="s">
        <v>229</v>
      </c>
      <c r="E172" s="1138" t="s">
        <v>831</v>
      </c>
      <c r="F172" s="1139"/>
      <c r="G172" s="1139"/>
      <c r="H172" s="1140"/>
      <c r="I172" s="1179" t="s">
        <v>825</v>
      </c>
      <c r="J172" s="1180"/>
      <c r="K172" s="1180"/>
      <c r="L172" s="1181"/>
      <c r="M172" s="1190" t="s">
        <v>823</v>
      </c>
      <c r="N172" s="1180"/>
      <c r="O172" s="1180"/>
      <c r="P172" s="1181"/>
      <c r="Q172" s="531"/>
      <c r="R172" s="531"/>
      <c r="S172" s="531"/>
      <c r="T172" s="376"/>
    </row>
    <row r="173" spans="1:20" s="426" customFormat="1" ht="25.5" x14ac:dyDescent="0.2">
      <c r="A173" s="1035"/>
      <c r="B173" s="1036"/>
      <c r="C173" s="1214"/>
      <c r="D173" s="1066"/>
      <c r="E173" s="399" t="s">
        <v>797</v>
      </c>
      <c r="F173" s="433" t="s">
        <v>644</v>
      </c>
      <c r="G173" s="1241" t="s">
        <v>553</v>
      </c>
      <c r="H173" s="1204"/>
      <c r="I173" s="399" t="s">
        <v>797</v>
      </c>
      <c r="J173" s="433" t="s">
        <v>644</v>
      </c>
      <c r="K173" s="1241" t="s">
        <v>553</v>
      </c>
      <c r="L173" s="1204"/>
      <c r="M173" s="399" t="s">
        <v>797</v>
      </c>
      <c r="N173" s="433" t="s">
        <v>644</v>
      </c>
      <c r="O173" s="1241" t="s">
        <v>553</v>
      </c>
      <c r="P173" s="1204"/>
      <c r="Q173" s="531"/>
      <c r="R173" s="531"/>
      <c r="S173" s="531"/>
      <c r="T173" s="376"/>
    </row>
    <row r="174" spans="1:20" s="426" customFormat="1" x14ac:dyDescent="0.2">
      <c r="A174" s="387" t="s">
        <v>6</v>
      </c>
      <c r="B174" s="719" t="s">
        <v>7</v>
      </c>
      <c r="C174" s="388" t="s">
        <v>8</v>
      </c>
      <c r="D174" s="390" t="s">
        <v>9</v>
      </c>
      <c r="E174" s="419">
        <v>4</v>
      </c>
      <c r="F174" s="398">
        <v>5</v>
      </c>
      <c r="G174" s="1004" t="s">
        <v>784</v>
      </c>
      <c r="H174" s="1005"/>
      <c r="I174" s="419">
        <v>7</v>
      </c>
      <c r="J174" s="398">
        <v>8</v>
      </c>
      <c r="K174" s="1004" t="s">
        <v>785</v>
      </c>
      <c r="L174" s="1005"/>
      <c r="M174" s="419" t="s">
        <v>463</v>
      </c>
      <c r="N174" s="398" t="s">
        <v>468</v>
      </c>
      <c r="O174" s="1004" t="s">
        <v>556</v>
      </c>
      <c r="P174" s="1005"/>
      <c r="Q174" s="531"/>
      <c r="R174" s="531"/>
      <c r="S174" s="531"/>
      <c r="T174" s="376"/>
    </row>
    <row r="175" spans="1:20" s="334" customFormat="1" ht="27.75" customHeight="1" x14ac:dyDescent="0.2">
      <c r="A175" s="444">
        <v>244</v>
      </c>
      <c r="B175" s="504">
        <v>1</v>
      </c>
      <c r="C175" s="525" t="s">
        <v>752</v>
      </c>
      <c r="D175" s="478" t="s">
        <v>783</v>
      </c>
      <c r="E175" s="465">
        <f>ROUNDUP(G175/300,0)</f>
        <v>0</v>
      </c>
      <c r="F175" s="580">
        <f>IFERROR(ROUND(G175/E175,2),0)</f>
        <v>0</v>
      </c>
      <c r="G175" s="1147">
        <f>SUMIFS(Титульный!$E$13:$E$157,Титульный!$A$13:$A$157,'Расходы КФО 4'!$Q175,Титульный!$B$13:$B$157,'Расходы КФО 4'!$R175,Титульный!$D$13:$D$157,'Расходы КФО 4'!$S175)</f>
        <v>0</v>
      </c>
      <c r="H175" s="1050"/>
      <c r="I175" s="465">
        <f>ROUNDUP(K175/300,0)</f>
        <v>0</v>
      </c>
      <c r="J175" s="580">
        <f>IFERROR(ROUND(K175/I175,2),0)</f>
        <v>0</v>
      </c>
      <c r="K175" s="1147">
        <f>SUMIFS(Титульный!$F$13:$F$157,
Титульный!$A$13:$A$157,'Расходы КФО 4'!$Q175,
Титульный!$B$13:$B$157,'Расходы КФО 4'!$R175,
Титульный!$D$13:$D$157,'Расходы КФО 4'!$S175)</f>
        <v>0</v>
      </c>
      <c r="L175" s="1050"/>
      <c r="M175" s="465">
        <f>ROUNDUP(O175/300,0)</f>
        <v>0</v>
      </c>
      <c r="N175" s="580">
        <f>IFERROR(ROUND(O175/M175,2),0)</f>
        <v>0</v>
      </c>
      <c r="O175" s="1147">
        <f>SUMIFS(Титульный!$G$13:$G$157,
Титульный!$A$13:$A$157,'Расходы КФО 4'!$Q175,
Титульный!$B$13:$B$157,'Расходы КФО 4'!$R175,
Титульный!$D$13:$D$157,'Расходы КФО 4'!$S175)</f>
        <v>0</v>
      </c>
      <c r="P175" s="1050"/>
      <c r="Q175" s="523">
        <v>4</v>
      </c>
      <c r="R175" s="523">
        <v>244</v>
      </c>
      <c r="S175" s="523">
        <v>341</v>
      </c>
      <c r="T175" s="379"/>
    </row>
    <row r="176" spans="1:20" s="334" customFormat="1" ht="27.75" customHeight="1" x14ac:dyDescent="0.2">
      <c r="A176" s="445">
        <v>244</v>
      </c>
      <c r="B176" s="450">
        <v>2</v>
      </c>
      <c r="C176" s="489" t="s">
        <v>753</v>
      </c>
      <c r="D176" s="453" t="s">
        <v>783</v>
      </c>
      <c r="E176" s="465">
        <f t="shared" ref="E176" si="18">ROUNDUP(G176/165,0)</f>
        <v>0</v>
      </c>
      <c r="F176" s="580">
        <f t="shared" ref="F176:F182" si="19">IFERROR(ROUND(G176/E176,2),0)</f>
        <v>0</v>
      </c>
      <c r="G176" s="1238">
        <f>SUMIFS(Титульный!$E$13:$E$157,Титульный!$A$13:$A$157,'Расходы КФО 4'!$Q176,Титульный!$B$13:$B$157,'Расходы КФО 4'!$R176,Титульный!$D$13:$D$157,'Расходы КФО 4'!$S176)</f>
        <v>0</v>
      </c>
      <c r="H176" s="1239"/>
      <c r="I176" s="465">
        <f t="shared" ref="I176" si="20">ROUNDUP(K176/165,0)</f>
        <v>0</v>
      </c>
      <c r="J176" s="580">
        <f t="shared" ref="J176:J182" si="21">IFERROR(ROUND(K176/I176,2),0)</f>
        <v>0</v>
      </c>
      <c r="K176" s="1238">
        <f>SUMIFS(Титульный!$F$13:$F$157,
Титульный!$A$13:$A$157,'Расходы КФО 4'!$Q176,
Титульный!$B$13:$B$157,'Расходы КФО 4'!$R176,
Титульный!$D$13:$D$157,'Расходы КФО 4'!$S176)</f>
        <v>0</v>
      </c>
      <c r="L176" s="1239"/>
      <c r="M176" s="465">
        <f t="shared" ref="M176" si="22">ROUNDUP(O176/165,0)</f>
        <v>0</v>
      </c>
      <c r="N176" s="580">
        <f t="shared" ref="N176:N182" si="23">IFERROR(ROUND(O176/M176,2),0)</f>
        <v>0</v>
      </c>
      <c r="O176" s="1238">
        <f>SUMIFS(Титульный!$G$13:$G$157,
Титульный!$A$13:$A$157,'Расходы КФО 4'!$Q176,
Титульный!$B$13:$B$157,'Расходы КФО 4'!$R176,
Титульный!$D$13:$D$157,'Расходы КФО 4'!$S176)</f>
        <v>0</v>
      </c>
      <c r="P176" s="1239"/>
      <c r="Q176" s="523">
        <v>4</v>
      </c>
      <c r="R176" s="523">
        <v>244</v>
      </c>
      <c r="S176" s="523">
        <v>342</v>
      </c>
      <c r="T176" s="379"/>
    </row>
    <row r="177" spans="1:20" s="334" customFormat="1" ht="27.75" customHeight="1" x14ac:dyDescent="0.2">
      <c r="A177" s="445">
        <v>244</v>
      </c>
      <c r="B177" s="450">
        <v>3</v>
      </c>
      <c r="C177" s="489" t="s">
        <v>274</v>
      </c>
      <c r="D177" s="453" t="s">
        <v>792</v>
      </c>
      <c r="E177" s="465">
        <f>ROUNDUP(G177/50,0)</f>
        <v>0</v>
      </c>
      <c r="F177" s="580">
        <f t="shared" si="19"/>
        <v>0</v>
      </c>
      <c r="G177" s="1238">
        <f>SUMIFS(Титульный!$E$13:$E$157,Титульный!$A$13:$A$157,'Расходы КФО 4'!$Q177,Титульный!$B$13:$B$157,'Расходы КФО 4'!$R177,Титульный!$D$13:$D$157,'Расходы КФО 4'!$S177)</f>
        <v>0</v>
      </c>
      <c r="H177" s="1239"/>
      <c r="I177" s="465">
        <f>ROUNDUP(K177/50,0)</f>
        <v>0</v>
      </c>
      <c r="J177" s="580">
        <f t="shared" si="21"/>
        <v>0</v>
      </c>
      <c r="K177" s="1238">
        <f>SUMIFS(Титульный!$F$13:$F$157,
Титульный!$A$13:$A$157,'Расходы КФО 4'!$Q177,
Титульный!$B$13:$B$157,'Расходы КФО 4'!$R177,
Титульный!$D$13:$D$157,'Расходы КФО 4'!$S177)</f>
        <v>0</v>
      </c>
      <c r="L177" s="1239"/>
      <c r="M177" s="465">
        <f>ROUNDUP(O177/50,0)</f>
        <v>0</v>
      </c>
      <c r="N177" s="580">
        <f t="shared" si="23"/>
        <v>0</v>
      </c>
      <c r="O177" s="1238">
        <f>SUMIFS(Титульный!$G$13:$G$157,
Титульный!$A$13:$A$157,'Расходы КФО 4'!$Q177,
Титульный!$B$13:$B$157,'Расходы КФО 4'!$R177,
Титульный!$D$13:$D$157,'Расходы КФО 4'!$S177)</f>
        <v>0</v>
      </c>
      <c r="P177" s="1239"/>
      <c r="Q177" s="523">
        <v>4</v>
      </c>
      <c r="R177" s="523">
        <v>244</v>
      </c>
      <c r="S177" s="523">
        <v>343</v>
      </c>
      <c r="T177" s="379"/>
    </row>
    <row r="178" spans="1:20" s="334" customFormat="1" ht="27.75" customHeight="1" x14ac:dyDescent="0.2">
      <c r="A178" s="445">
        <v>244</v>
      </c>
      <c r="B178" s="450">
        <v>4</v>
      </c>
      <c r="C178" s="489" t="s">
        <v>275</v>
      </c>
      <c r="D178" s="453" t="s">
        <v>783</v>
      </c>
      <c r="E178" s="465">
        <f>ROUNDUP(G178/300,0)</f>
        <v>0</v>
      </c>
      <c r="F178" s="580">
        <f t="shared" si="19"/>
        <v>0</v>
      </c>
      <c r="G178" s="1238">
        <f>SUMIFS(Титульный!$E$13:$E$157,Титульный!$A$13:$A$157,'Расходы КФО 4'!$Q178,Титульный!$B$13:$B$157,'Расходы КФО 4'!$R178,Титульный!$D$13:$D$157,'Расходы КФО 4'!$S178)</f>
        <v>0</v>
      </c>
      <c r="H178" s="1239"/>
      <c r="I178" s="465">
        <f>ROUNDUP(K178/300,0)</f>
        <v>0</v>
      </c>
      <c r="J178" s="580">
        <f t="shared" si="21"/>
        <v>0</v>
      </c>
      <c r="K178" s="1238">
        <f>SUMIFS(Титульный!$F$13:$F$157,
Титульный!$A$13:$A$157,'Расходы КФО 4'!$Q178,
Титульный!$B$13:$B$157,'Расходы КФО 4'!$R178,
Титульный!$D$13:$D$157,'Расходы КФО 4'!$S178)</f>
        <v>0</v>
      </c>
      <c r="L178" s="1239"/>
      <c r="M178" s="465">
        <f>ROUNDUP(O178/300,0)</f>
        <v>0</v>
      </c>
      <c r="N178" s="580">
        <f t="shared" si="23"/>
        <v>0</v>
      </c>
      <c r="O178" s="1238">
        <f>SUMIFS(Титульный!$G$13:$G$157,
Титульный!$A$13:$A$157,'Расходы КФО 4'!$Q178,
Титульный!$B$13:$B$157,'Расходы КФО 4'!$R178,
Титульный!$D$13:$D$157,'Расходы КФО 4'!$S178)</f>
        <v>0</v>
      </c>
      <c r="P178" s="1239"/>
      <c r="Q178" s="523">
        <v>4</v>
      </c>
      <c r="R178" s="523">
        <v>244</v>
      </c>
      <c r="S178" s="523">
        <v>344</v>
      </c>
      <c r="T178" s="379"/>
    </row>
    <row r="179" spans="1:20" s="334" customFormat="1" ht="27.75" customHeight="1" x14ac:dyDescent="0.2">
      <c r="A179" s="445">
        <v>244</v>
      </c>
      <c r="B179" s="450">
        <v>5</v>
      </c>
      <c r="C179" s="489" t="s">
        <v>754</v>
      </c>
      <c r="D179" s="453" t="s">
        <v>783</v>
      </c>
      <c r="E179" s="465">
        <f>ROUNDUP(G179/600,0)</f>
        <v>34</v>
      </c>
      <c r="F179" s="580">
        <f t="shared" si="19"/>
        <v>588.24</v>
      </c>
      <c r="G179" s="1238">
        <f>SUMIFS(Титульный!$E$13:$E$157,Титульный!$A$13:$A$157,'Расходы КФО 4'!$Q179,Титульный!$B$13:$B$157,'Расходы КФО 4'!$R179,Титульный!$D$13:$D$157,'Расходы КФО 4'!$S179)</f>
        <v>20000</v>
      </c>
      <c r="H179" s="1239"/>
      <c r="I179" s="465">
        <f>ROUNDUP(K179/600,0)</f>
        <v>34</v>
      </c>
      <c r="J179" s="580">
        <f t="shared" si="21"/>
        <v>588.24</v>
      </c>
      <c r="K179" s="1238">
        <f>SUMIFS(Титульный!$F$13:$F$157,
Титульный!$A$13:$A$157,'Расходы КФО 4'!$Q179,
Титульный!$B$13:$B$157,'Расходы КФО 4'!$R179,
Титульный!$D$13:$D$157,'Расходы КФО 4'!$S179)</f>
        <v>20000</v>
      </c>
      <c r="L179" s="1239"/>
      <c r="M179" s="465">
        <f>ROUNDUP(O179/600,0)</f>
        <v>34</v>
      </c>
      <c r="N179" s="580">
        <f t="shared" si="23"/>
        <v>588.24</v>
      </c>
      <c r="O179" s="1238">
        <f>SUMIFS(Титульный!$G$13:$G$157,
Титульный!$A$13:$A$157,'Расходы КФО 4'!$Q179,
Титульный!$B$13:$B$157,'Расходы КФО 4'!$R179,
Титульный!$D$13:$D$157,'Расходы КФО 4'!$S179)</f>
        <v>20000</v>
      </c>
      <c r="P179" s="1239"/>
      <c r="Q179" s="523">
        <v>4</v>
      </c>
      <c r="R179" s="523">
        <v>244</v>
      </c>
      <c r="S179" s="523">
        <v>345</v>
      </c>
      <c r="T179" s="379"/>
    </row>
    <row r="180" spans="1:20" s="334" customFormat="1" ht="27.75" customHeight="1" x14ac:dyDescent="0.2">
      <c r="A180" s="445">
        <v>244</v>
      </c>
      <c r="B180" s="450">
        <v>6</v>
      </c>
      <c r="C180" s="489" t="s">
        <v>755</v>
      </c>
      <c r="D180" s="453" t="s">
        <v>783</v>
      </c>
      <c r="E180" s="465">
        <f>ROUNDUP(G180/110,0)</f>
        <v>7704</v>
      </c>
      <c r="F180" s="580">
        <f t="shared" si="19"/>
        <v>110</v>
      </c>
      <c r="G180" s="1238">
        <f>SUMIFS(Титульный!$E$13:$E$157,Титульный!$A$13:$A$157,'Расходы КФО 4'!$Q180,Титульный!$B$13:$B$157,'Расходы КФО 4'!$R180,Титульный!$D$13:$D$157,'Расходы КФО 4'!$S180)</f>
        <v>847427</v>
      </c>
      <c r="H180" s="1239"/>
      <c r="I180" s="465">
        <f>ROUNDUP(K180/110,0)</f>
        <v>7704</v>
      </c>
      <c r="J180" s="580">
        <f t="shared" si="21"/>
        <v>110</v>
      </c>
      <c r="K180" s="1238">
        <f>SUMIFS(Титульный!$F$13:$F$157,
Титульный!$A$13:$A$157,'Расходы КФО 4'!$Q180,
Титульный!$B$13:$B$157,'Расходы КФО 4'!$R180,
Титульный!$D$13:$D$157,'Расходы КФО 4'!$S180)</f>
        <v>847427</v>
      </c>
      <c r="L180" s="1239"/>
      <c r="M180" s="465">
        <f>ROUNDUP(O180/110,0)</f>
        <v>7704</v>
      </c>
      <c r="N180" s="580">
        <f t="shared" si="23"/>
        <v>110</v>
      </c>
      <c r="O180" s="1238">
        <f>SUMIFS(Титульный!$G$13:$G$157,
Титульный!$A$13:$A$157,'Расходы КФО 4'!$Q180,
Титульный!$B$13:$B$157,'Расходы КФО 4'!$R180,
Титульный!$D$13:$D$157,'Расходы КФО 4'!$S180)</f>
        <v>847427</v>
      </c>
      <c r="P180" s="1239"/>
      <c r="Q180" s="523">
        <v>4</v>
      </c>
      <c r="R180" s="523">
        <v>244</v>
      </c>
      <c r="S180" s="523">
        <v>346</v>
      </c>
      <c r="T180" s="379"/>
    </row>
    <row r="181" spans="1:20" s="334" customFormat="1" ht="27.75" customHeight="1" x14ac:dyDescent="0.2">
      <c r="A181" s="445">
        <v>244</v>
      </c>
      <c r="B181" s="450">
        <v>7</v>
      </c>
      <c r="C181" s="489" t="s">
        <v>278</v>
      </c>
      <c r="D181" s="453" t="s">
        <v>783</v>
      </c>
      <c r="E181" s="465">
        <f>ROUNDUP(G181/2000,0)</f>
        <v>0</v>
      </c>
      <c r="F181" s="580">
        <f t="shared" si="19"/>
        <v>0</v>
      </c>
      <c r="G181" s="1238">
        <f>SUMIFS(Титульный!$E$13:$E$157,Титульный!$A$13:$A$157,'Расходы КФО 4'!$Q181,Титульный!$B$13:$B$157,'Расходы КФО 4'!$R181,Титульный!$D$13:$D$157,'Расходы КФО 4'!$S181)</f>
        <v>0</v>
      </c>
      <c r="H181" s="1239"/>
      <c r="I181" s="465">
        <f>ROUNDUP(K181/2000,0)</f>
        <v>0</v>
      </c>
      <c r="J181" s="580">
        <f t="shared" si="21"/>
        <v>0</v>
      </c>
      <c r="K181" s="1238">
        <f>SUMIFS(Титульный!$F$13:$F$157,
Титульный!$A$13:$A$157,'Расходы КФО 4'!$Q181,
Титульный!$B$13:$B$157,'Расходы КФО 4'!$R181,
Титульный!$D$13:$D$157,'Расходы КФО 4'!$S181)</f>
        <v>0</v>
      </c>
      <c r="L181" s="1239"/>
      <c r="M181" s="465">
        <f>ROUNDUP(O181/2000,0)</f>
        <v>0</v>
      </c>
      <c r="N181" s="580">
        <f t="shared" si="23"/>
        <v>0</v>
      </c>
      <c r="O181" s="1238">
        <f>SUMIFS(Титульный!$G$13:$G$157,
Титульный!$A$13:$A$157,'Расходы КФО 4'!$Q181,
Титульный!$B$13:$B$157,'Расходы КФО 4'!$R181,
Титульный!$D$13:$D$157,'Расходы КФО 4'!$S181)</f>
        <v>0</v>
      </c>
      <c r="P181" s="1239"/>
      <c r="Q181" s="523">
        <v>4</v>
      </c>
      <c r="R181" s="523">
        <v>244</v>
      </c>
      <c r="S181" s="523">
        <v>347</v>
      </c>
      <c r="T181" s="379"/>
    </row>
    <row r="182" spans="1:20" s="334" customFormat="1" ht="27.75" customHeight="1" x14ac:dyDescent="0.2">
      <c r="A182" s="445">
        <v>244</v>
      </c>
      <c r="B182" s="450">
        <v>8</v>
      </c>
      <c r="C182" s="489" t="s">
        <v>279</v>
      </c>
      <c r="D182" s="453" t="s">
        <v>783</v>
      </c>
      <c r="E182" s="465">
        <f>ROUNDUP(G182/150,0)</f>
        <v>67</v>
      </c>
      <c r="F182" s="580">
        <f t="shared" si="19"/>
        <v>149.25</v>
      </c>
      <c r="G182" s="1148">
        <f>SUMIFS(Титульный!$E$13:$E$157,Титульный!$A$13:$A$157,'Расходы КФО 4'!$Q182,Титульный!$B$13:$B$157,'Расходы КФО 4'!$R182,Титульный!$D$13:$D$157,'Расходы КФО 4'!$S182)</f>
        <v>10000</v>
      </c>
      <c r="H182" s="1149"/>
      <c r="I182" s="465">
        <f>ROUNDUP(K182/150,0)</f>
        <v>67</v>
      </c>
      <c r="J182" s="580">
        <f t="shared" si="21"/>
        <v>149.25</v>
      </c>
      <c r="K182" s="1148">
        <f>SUMIFS(Титульный!$F$13:$F$157,
Титульный!$A$13:$A$157,'Расходы КФО 4'!$Q182,
Титульный!$B$13:$B$157,'Расходы КФО 4'!$R182,
Титульный!$D$13:$D$157,'Расходы КФО 4'!$S182)</f>
        <v>10000</v>
      </c>
      <c r="L182" s="1149"/>
      <c r="M182" s="465">
        <f>ROUNDUP(O182/150,0)</f>
        <v>67</v>
      </c>
      <c r="N182" s="580">
        <f t="shared" si="23"/>
        <v>149.25</v>
      </c>
      <c r="O182" s="1148">
        <f>SUMIFS(Титульный!$G$13:$G$157,
Титульный!$A$13:$A$157,'Расходы КФО 4'!$Q182,
Титульный!$B$13:$B$157,'Расходы КФО 4'!$R182,
Титульный!$D$13:$D$157,'Расходы КФО 4'!$S182)</f>
        <v>10000</v>
      </c>
      <c r="P182" s="1149"/>
      <c r="Q182" s="523">
        <v>4</v>
      </c>
      <c r="R182" s="523">
        <v>244</v>
      </c>
      <c r="S182" s="523">
        <v>349</v>
      </c>
      <c r="T182" s="379"/>
    </row>
    <row r="183" spans="1:20" s="524" customFormat="1" ht="27.75" customHeight="1" x14ac:dyDescent="0.2">
      <c r="A183" s="508"/>
      <c r="B183" s="509"/>
      <c r="C183" s="485" t="s">
        <v>611</v>
      </c>
      <c r="D183" s="516" t="s">
        <v>462</v>
      </c>
      <c r="E183" s="512" t="s">
        <v>462</v>
      </c>
      <c r="F183" s="511" t="s">
        <v>462</v>
      </c>
      <c r="G183" s="1008">
        <f>SUM(G175:H182)</f>
        <v>877427</v>
      </c>
      <c r="H183" s="1009">
        <f>SUMIFS(Титульный!$E$13:$E$157,Титульный!$A$13:$A$157,'Расходы КФО 2'!$Q191,Титульный!$B$13:$B$157,'Расходы КФО 2'!$R191,Титульный!$D$13:$D$157,'Расходы КФО 2'!$S191)</f>
        <v>0</v>
      </c>
      <c r="I183" s="512" t="s">
        <v>462</v>
      </c>
      <c r="J183" s="511" t="s">
        <v>462</v>
      </c>
      <c r="K183" s="1008">
        <f>SUM(K175:L182)</f>
        <v>877427</v>
      </c>
      <c r="L183" s="1009">
        <f>SUMIFS(Титульный!$E$13:$E$157,Титульный!$A$13:$A$157,'Расходы КФО 2'!$Q191,Титульный!$B$13:$B$157,'Расходы КФО 2'!$R191,Титульный!$D$13:$D$157,'Расходы КФО 2'!$S191)</f>
        <v>0</v>
      </c>
      <c r="M183" s="512" t="s">
        <v>462</v>
      </c>
      <c r="N183" s="511" t="s">
        <v>462</v>
      </c>
      <c r="O183" s="1008">
        <f>SUM(O175:P182)</f>
        <v>877427</v>
      </c>
      <c r="P183" s="1009">
        <f>SUMIFS(Титульный!$E$13:$E$157,Титульный!$A$13:$A$157,'Расходы КФО 2'!$Q191,Титульный!$B$13:$B$157,'Расходы КФО 2'!$R191,Титульный!$D$13:$D$157,'Расходы КФО 2'!$S191)</f>
        <v>0</v>
      </c>
      <c r="Q183" s="523"/>
      <c r="R183" s="523"/>
      <c r="S183" s="523"/>
      <c r="T183" s="523"/>
    </row>
    <row r="184" spans="1:20" s="374" customFormat="1" x14ac:dyDescent="0.2">
      <c r="B184" s="506"/>
      <c r="Q184" s="531"/>
      <c r="R184" s="531"/>
      <c r="S184" s="531"/>
      <c r="T184" s="376"/>
    </row>
  </sheetData>
  <mergeCells count="517">
    <mergeCell ref="G183:H183"/>
    <mergeCell ref="K183:L183"/>
    <mergeCell ref="O183:P183"/>
    <mergeCell ref="G182:H182"/>
    <mergeCell ref="K182:L182"/>
    <mergeCell ref="O182:P182"/>
    <mergeCell ref="G180:H180"/>
    <mergeCell ref="K180:L180"/>
    <mergeCell ref="O180:P180"/>
    <mergeCell ref="G181:H181"/>
    <mergeCell ref="K181:L181"/>
    <mergeCell ref="O181:P181"/>
    <mergeCell ref="G178:H178"/>
    <mergeCell ref="K178:L178"/>
    <mergeCell ref="O178:P178"/>
    <mergeCell ref="G179:H179"/>
    <mergeCell ref="K179:L179"/>
    <mergeCell ref="O179:P179"/>
    <mergeCell ref="G176:H176"/>
    <mergeCell ref="K176:L176"/>
    <mergeCell ref="O176:P176"/>
    <mergeCell ref="G177:H177"/>
    <mergeCell ref="K177:L177"/>
    <mergeCell ref="O177:P177"/>
    <mergeCell ref="O173:P173"/>
    <mergeCell ref="G174:H174"/>
    <mergeCell ref="K174:L174"/>
    <mergeCell ref="O174:P174"/>
    <mergeCell ref="G175:H175"/>
    <mergeCell ref="K175:L175"/>
    <mergeCell ref="O175:P175"/>
    <mergeCell ref="A170:P170"/>
    <mergeCell ref="A172:A173"/>
    <mergeCell ref="B172:B173"/>
    <mergeCell ref="C172:C173"/>
    <mergeCell ref="D172:D173"/>
    <mergeCell ref="E172:H172"/>
    <mergeCell ref="I172:L172"/>
    <mergeCell ref="M172:P172"/>
    <mergeCell ref="G173:H173"/>
    <mergeCell ref="K173:L173"/>
    <mergeCell ref="C165:D165"/>
    <mergeCell ref="G165:H165"/>
    <mergeCell ref="K165:L165"/>
    <mergeCell ref="O165:P165"/>
    <mergeCell ref="C166:D166"/>
    <mergeCell ref="G166:H166"/>
    <mergeCell ref="K166:L166"/>
    <mergeCell ref="O166:P166"/>
    <mergeCell ref="C163:D163"/>
    <mergeCell ref="G163:H163"/>
    <mergeCell ref="K163:L163"/>
    <mergeCell ref="O163:P163"/>
    <mergeCell ref="C164:D164"/>
    <mergeCell ref="G164:H164"/>
    <mergeCell ref="K164:L164"/>
    <mergeCell ref="O164:P164"/>
    <mergeCell ref="C161:D161"/>
    <mergeCell ref="G161:H161"/>
    <mergeCell ref="K161:L161"/>
    <mergeCell ref="O161:P161"/>
    <mergeCell ref="C162:D162"/>
    <mergeCell ref="G162:H162"/>
    <mergeCell ref="K162:L162"/>
    <mergeCell ref="O162:P162"/>
    <mergeCell ref="C158:D158"/>
    <mergeCell ref="G158:H158"/>
    <mergeCell ref="K158:L158"/>
    <mergeCell ref="O158:P158"/>
    <mergeCell ref="C159:D159"/>
    <mergeCell ref="G159:H159"/>
    <mergeCell ref="K159:L159"/>
    <mergeCell ref="O159:P159"/>
    <mergeCell ref="C160:D160"/>
    <mergeCell ref="G160:H160"/>
    <mergeCell ref="K160:L160"/>
    <mergeCell ref="O160:P160"/>
    <mergeCell ref="C156:D156"/>
    <mergeCell ref="G156:H156"/>
    <mergeCell ref="K156:L156"/>
    <mergeCell ref="O156:P156"/>
    <mergeCell ref="C157:D157"/>
    <mergeCell ref="G157:H157"/>
    <mergeCell ref="K157:L157"/>
    <mergeCell ref="O157:P157"/>
    <mergeCell ref="M153:P153"/>
    <mergeCell ref="G154:H154"/>
    <mergeCell ref="K154:L154"/>
    <mergeCell ref="O154:P154"/>
    <mergeCell ref="C155:D155"/>
    <mergeCell ref="G155:H155"/>
    <mergeCell ref="K155:L155"/>
    <mergeCell ref="O155:P155"/>
    <mergeCell ref="C147:D147"/>
    <mergeCell ref="G147:H147"/>
    <mergeCell ref="K147:L147"/>
    <mergeCell ref="O147:P147"/>
    <mergeCell ref="A151:P151"/>
    <mergeCell ref="A153:A154"/>
    <mergeCell ref="B153:B154"/>
    <mergeCell ref="C153:D154"/>
    <mergeCell ref="E153:H153"/>
    <mergeCell ref="I153:L153"/>
    <mergeCell ref="C145:D145"/>
    <mergeCell ref="G145:H145"/>
    <mergeCell ref="K145:L145"/>
    <mergeCell ref="O145:P145"/>
    <mergeCell ref="C146:D146"/>
    <mergeCell ref="G146:H146"/>
    <mergeCell ref="K146:L146"/>
    <mergeCell ref="O146:P146"/>
    <mergeCell ref="C143:D143"/>
    <mergeCell ref="G143:H143"/>
    <mergeCell ref="K143:L143"/>
    <mergeCell ref="O143:P143"/>
    <mergeCell ref="C144:D144"/>
    <mergeCell ref="G144:H144"/>
    <mergeCell ref="K144:L144"/>
    <mergeCell ref="O144:P144"/>
    <mergeCell ref="A139:P139"/>
    <mergeCell ref="A141:A142"/>
    <mergeCell ref="B141:B142"/>
    <mergeCell ref="C141:D142"/>
    <mergeCell ref="E141:H141"/>
    <mergeCell ref="I141:L141"/>
    <mergeCell ref="M141:P141"/>
    <mergeCell ref="G142:H142"/>
    <mergeCell ref="K142:L142"/>
    <mergeCell ref="O142:P142"/>
    <mergeCell ref="C134:D134"/>
    <mergeCell ref="E134:H134"/>
    <mergeCell ref="I134:L134"/>
    <mergeCell ref="M134:P134"/>
    <mergeCell ref="C135:D135"/>
    <mergeCell ref="E135:H135"/>
    <mergeCell ref="I135:L135"/>
    <mergeCell ref="M135:P135"/>
    <mergeCell ref="C132:D132"/>
    <mergeCell ref="E132:H132"/>
    <mergeCell ref="I132:L132"/>
    <mergeCell ref="M132:P132"/>
    <mergeCell ref="C133:D133"/>
    <mergeCell ref="E133:H133"/>
    <mergeCell ref="I133:L133"/>
    <mergeCell ref="M133:P133"/>
    <mergeCell ref="I130:L130"/>
    <mergeCell ref="M130:P130"/>
    <mergeCell ref="C131:D131"/>
    <mergeCell ref="E131:H131"/>
    <mergeCell ref="I131:L131"/>
    <mergeCell ref="M131:P131"/>
    <mergeCell ref="C123:D123"/>
    <mergeCell ref="G123:H123"/>
    <mergeCell ref="K123:L123"/>
    <mergeCell ref="O123:P123"/>
    <mergeCell ref="A127:P127"/>
    <mergeCell ref="A129:A130"/>
    <mergeCell ref="B129:B130"/>
    <mergeCell ref="C129:D130"/>
    <mergeCell ref="E129:P129"/>
    <mergeCell ref="E130:H130"/>
    <mergeCell ref="C121:D121"/>
    <mergeCell ref="G121:H121"/>
    <mergeCell ref="K121:L121"/>
    <mergeCell ref="O121:P121"/>
    <mergeCell ref="C122:D122"/>
    <mergeCell ref="G122:H122"/>
    <mergeCell ref="K122:L122"/>
    <mergeCell ref="O122:P122"/>
    <mergeCell ref="C119:D119"/>
    <mergeCell ref="G119:H119"/>
    <mergeCell ref="K119:L119"/>
    <mergeCell ref="O119:P119"/>
    <mergeCell ref="C120:D120"/>
    <mergeCell ref="G120:H120"/>
    <mergeCell ref="K120:L120"/>
    <mergeCell ref="O120:P120"/>
    <mergeCell ref="C117:D117"/>
    <mergeCell ref="G117:H117"/>
    <mergeCell ref="K117:L117"/>
    <mergeCell ref="O117:P117"/>
    <mergeCell ref="C118:D118"/>
    <mergeCell ref="G118:H118"/>
    <mergeCell ref="K118:L118"/>
    <mergeCell ref="O118:P118"/>
    <mergeCell ref="C115:D115"/>
    <mergeCell ref="G115:H115"/>
    <mergeCell ref="K115:L115"/>
    <mergeCell ref="O115:P115"/>
    <mergeCell ref="C116:D116"/>
    <mergeCell ref="G116:H116"/>
    <mergeCell ref="K116:L116"/>
    <mergeCell ref="O116:P116"/>
    <mergeCell ref="C113:D113"/>
    <mergeCell ref="G113:H113"/>
    <mergeCell ref="K113:L113"/>
    <mergeCell ref="O113:P113"/>
    <mergeCell ref="C114:D114"/>
    <mergeCell ref="G114:H114"/>
    <mergeCell ref="K114:L114"/>
    <mergeCell ref="O114:P114"/>
    <mergeCell ref="C110:D110"/>
    <mergeCell ref="G110:H110"/>
    <mergeCell ref="K110:L110"/>
    <mergeCell ref="O110:P110"/>
    <mergeCell ref="C112:D112"/>
    <mergeCell ref="G112:H112"/>
    <mergeCell ref="K112:L112"/>
    <mergeCell ref="O112:P112"/>
    <mergeCell ref="C111:D111"/>
    <mergeCell ref="G111:H111"/>
    <mergeCell ref="K111:L111"/>
    <mergeCell ref="O111:P111"/>
    <mergeCell ref="C108:D108"/>
    <mergeCell ref="G108:H108"/>
    <mergeCell ref="K108:L108"/>
    <mergeCell ref="O108:P108"/>
    <mergeCell ref="C109:D109"/>
    <mergeCell ref="G109:H109"/>
    <mergeCell ref="K109:L109"/>
    <mergeCell ref="O109:P109"/>
    <mergeCell ref="C106:D106"/>
    <mergeCell ref="G106:H106"/>
    <mergeCell ref="K106:L106"/>
    <mergeCell ref="O106:P106"/>
    <mergeCell ref="C107:D107"/>
    <mergeCell ref="G107:H107"/>
    <mergeCell ref="K107:L107"/>
    <mergeCell ref="O107:P107"/>
    <mergeCell ref="A102:P102"/>
    <mergeCell ref="A104:A105"/>
    <mergeCell ref="B104:B105"/>
    <mergeCell ref="C104:D105"/>
    <mergeCell ref="E104:H104"/>
    <mergeCell ref="I104:L104"/>
    <mergeCell ref="M104:P104"/>
    <mergeCell ref="G105:H105"/>
    <mergeCell ref="K105:L105"/>
    <mergeCell ref="O105:P105"/>
    <mergeCell ref="C97:D97"/>
    <mergeCell ref="G97:H97"/>
    <mergeCell ref="K97:L97"/>
    <mergeCell ref="O97:P97"/>
    <mergeCell ref="C98:D98"/>
    <mergeCell ref="G98:H98"/>
    <mergeCell ref="K98:L98"/>
    <mergeCell ref="O98:P98"/>
    <mergeCell ref="C95:D95"/>
    <mergeCell ref="G95:H95"/>
    <mergeCell ref="K95:L95"/>
    <mergeCell ref="O95:P95"/>
    <mergeCell ref="C96:D96"/>
    <mergeCell ref="G96:H96"/>
    <mergeCell ref="K96:L96"/>
    <mergeCell ref="O96:P96"/>
    <mergeCell ref="C93:D93"/>
    <mergeCell ref="G93:H93"/>
    <mergeCell ref="K93:L93"/>
    <mergeCell ref="O93:P93"/>
    <mergeCell ref="C94:D94"/>
    <mergeCell ref="G94:H94"/>
    <mergeCell ref="K94:L94"/>
    <mergeCell ref="O94:P94"/>
    <mergeCell ref="C91:D91"/>
    <mergeCell ref="G91:H91"/>
    <mergeCell ref="K91:L91"/>
    <mergeCell ref="O91:P91"/>
    <mergeCell ref="C92:D92"/>
    <mergeCell ref="G92:H92"/>
    <mergeCell ref="K92:L92"/>
    <mergeCell ref="O92:P92"/>
    <mergeCell ref="C89:D89"/>
    <mergeCell ref="G89:H89"/>
    <mergeCell ref="K89:L89"/>
    <mergeCell ref="O89:P89"/>
    <mergeCell ref="C90:D90"/>
    <mergeCell ref="G90:H90"/>
    <mergeCell ref="K90:L90"/>
    <mergeCell ref="O90:P90"/>
    <mergeCell ref="C87:D87"/>
    <mergeCell ref="G87:H87"/>
    <mergeCell ref="K87:L87"/>
    <mergeCell ref="O87:P87"/>
    <mergeCell ref="C88:D88"/>
    <mergeCell ref="G88:H88"/>
    <mergeCell ref="K88:L88"/>
    <mergeCell ref="O88:P88"/>
    <mergeCell ref="C85:D85"/>
    <mergeCell ref="G85:H85"/>
    <mergeCell ref="K85:L85"/>
    <mergeCell ref="O85:P85"/>
    <mergeCell ref="C86:D86"/>
    <mergeCell ref="G86:H86"/>
    <mergeCell ref="K86:L86"/>
    <mergeCell ref="O86:P86"/>
    <mergeCell ref="C83:D83"/>
    <mergeCell ref="G83:H83"/>
    <mergeCell ref="K83:L83"/>
    <mergeCell ref="O83:P83"/>
    <mergeCell ref="C84:D84"/>
    <mergeCell ref="G84:H84"/>
    <mergeCell ref="K84:L84"/>
    <mergeCell ref="O84:P84"/>
    <mergeCell ref="C81:D81"/>
    <mergeCell ref="G81:H81"/>
    <mergeCell ref="K81:L81"/>
    <mergeCell ref="O81:P81"/>
    <mergeCell ref="C82:D82"/>
    <mergeCell ref="G82:H82"/>
    <mergeCell ref="K82:L82"/>
    <mergeCell ref="O82:P82"/>
    <mergeCell ref="C79:D79"/>
    <mergeCell ref="G79:H79"/>
    <mergeCell ref="K79:L79"/>
    <mergeCell ref="O79:P79"/>
    <mergeCell ref="C80:D80"/>
    <mergeCell ref="G80:H80"/>
    <mergeCell ref="K80:L80"/>
    <mergeCell ref="O80:P80"/>
    <mergeCell ref="C77:D77"/>
    <mergeCell ref="G77:H77"/>
    <mergeCell ref="K77:L77"/>
    <mergeCell ref="O77:P77"/>
    <mergeCell ref="C78:D78"/>
    <mergeCell ref="G78:H78"/>
    <mergeCell ref="K78:L78"/>
    <mergeCell ref="O78:P78"/>
    <mergeCell ref="C75:D75"/>
    <mergeCell ref="G75:H75"/>
    <mergeCell ref="K75:L75"/>
    <mergeCell ref="O75:P75"/>
    <mergeCell ref="C76:D76"/>
    <mergeCell ref="G76:H76"/>
    <mergeCell ref="K76:L76"/>
    <mergeCell ref="O76:P76"/>
    <mergeCell ref="C73:D73"/>
    <mergeCell ref="G73:H73"/>
    <mergeCell ref="K73:L73"/>
    <mergeCell ref="O73:P73"/>
    <mergeCell ref="C74:D74"/>
    <mergeCell ref="G74:H74"/>
    <mergeCell ref="K74:L74"/>
    <mergeCell ref="O74:P74"/>
    <mergeCell ref="C71:D71"/>
    <mergeCell ref="G71:H71"/>
    <mergeCell ref="K71:L71"/>
    <mergeCell ref="O71:P71"/>
    <mergeCell ref="C72:D72"/>
    <mergeCell ref="G72:H72"/>
    <mergeCell ref="K72:L72"/>
    <mergeCell ref="O72:P72"/>
    <mergeCell ref="C69:D69"/>
    <mergeCell ref="G69:H69"/>
    <mergeCell ref="K69:L69"/>
    <mergeCell ref="O69:P69"/>
    <mergeCell ref="C70:D70"/>
    <mergeCell ref="G70:H70"/>
    <mergeCell ref="K70:L70"/>
    <mergeCell ref="O70:P70"/>
    <mergeCell ref="C67:D67"/>
    <mergeCell ref="G67:H67"/>
    <mergeCell ref="K67:L67"/>
    <mergeCell ref="O67:P67"/>
    <mergeCell ref="C68:D68"/>
    <mergeCell ref="G68:H68"/>
    <mergeCell ref="K68:L68"/>
    <mergeCell ref="O68:P68"/>
    <mergeCell ref="C65:D65"/>
    <mergeCell ref="G65:H65"/>
    <mergeCell ref="K65:L65"/>
    <mergeCell ref="O65:P65"/>
    <mergeCell ref="C66:D66"/>
    <mergeCell ref="G66:H66"/>
    <mergeCell ref="K66:L66"/>
    <mergeCell ref="O66:P66"/>
    <mergeCell ref="C63:D63"/>
    <mergeCell ref="G63:H63"/>
    <mergeCell ref="K63:L63"/>
    <mergeCell ref="O63:P63"/>
    <mergeCell ref="C64:D64"/>
    <mergeCell ref="G64:H64"/>
    <mergeCell ref="K64:L64"/>
    <mergeCell ref="O64:P64"/>
    <mergeCell ref="C61:D61"/>
    <mergeCell ref="G61:H61"/>
    <mergeCell ref="K61:L61"/>
    <mergeCell ref="O61:P61"/>
    <mergeCell ref="C62:D62"/>
    <mergeCell ref="G62:H62"/>
    <mergeCell ref="K62:L62"/>
    <mergeCell ref="O62:P62"/>
    <mergeCell ref="C59:D59"/>
    <mergeCell ref="G59:H59"/>
    <mergeCell ref="K59:L59"/>
    <mergeCell ref="O59:P59"/>
    <mergeCell ref="C60:D60"/>
    <mergeCell ref="G60:H60"/>
    <mergeCell ref="K60:L60"/>
    <mergeCell ref="O60:P60"/>
    <mergeCell ref="C57:D57"/>
    <mergeCell ref="G57:H57"/>
    <mergeCell ref="K57:L57"/>
    <mergeCell ref="O57:P57"/>
    <mergeCell ref="C58:D58"/>
    <mergeCell ref="G58:H58"/>
    <mergeCell ref="K58:L58"/>
    <mergeCell ref="O58:P58"/>
    <mergeCell ref="A53:P53"/>
    <mergeCell ref="A55:A56"/>
    <mergeCell ref="B55:B56"/>
    <mergeCell ref="C55:D56"/>
    <mergeCell ref="E55:H55"/>
    <mergeCell ref="I55:L55"/>
    <mergeCell ref="M55:P55"/>
    <mergeCell ref="G56:H56"/>
    <mergeCell ref="K56:L56"/>
    <mergeCell ref="O56:P56"/>
    <mergeCell ref="C48:D48"/>
    <mergeCell ref="G48:H48"/>
    <mergeCell ref="K48:L48"/>
    <mergeCell ref="O48:P48"/>
    <mergeCell ref="C49:D49"/>
    <mergeCell ref="G49:H49"/>
    <mergeCell ref="K49:L49"/>
    <mergeCell ref="O49:P49"/>
    <mergeCell ref="C46:D46"/>
    <mergeCell ref="G46:H46"/>
    <mergeCell ref="K46:L46"/>
    <mergeCell ref="O46:P46"/>
    <mergeCell ref="C47:D47"/>
    <mergeCell ref="G47:H47"/>
    <mergeCell ref="K47:L47"/>
    <mergeCell ref="O47:P47"/>
    <mergeCell ref="G44:H44"/>
    <mergeCell ref="K44:L44"/>
    <mergeCell ref="O44:P44"/>
    <mergeCell ref="C45:D45"/>
    <mergeCell ref="G45:H45"/>
    <mergeCell ref="K45:L45"/>
    <mergeCell ref="O45:P45"/>
    <mergeCell ref="G37:H37"/>
    <mergeCell ref="K37:L37"/>
    <mergeCell ref="O37:P37"/>
    <mergeCell ref="A41:P41"/>
    <mergeCell ref="A43:A44"/>
    <mergeCell ref="B43:B44"/>
    <mergeCell ref="C43:D44"/>
    <mergeCell ref="E43:H43"/>
    <mergeCell ref="I43:L43"/>
    <mergeCell ref="M43:P43"/>
    <mergeCell ref="G35:H35"/>
    <mergeCell ref="K35:L35"/>
    <mergeCell ref="O35:P35"/>
    <mergeCell ref="G36:H36"/>
    <mergeCell ref="K36:L36"/>
    <mergeCell ref="O36:P36"/>
    <mergeCell ref="G33:H33"/>
    <mergeCell ref="K33:L33"/>
    <mergeCell ref="O33:P33"/>
    <mergeCell ref="G34:H34"/>
    <mergeCell ref="K34:L34"/>
    <mergeCell ref="O34:P34"/>
    <mergeCell ref="O30:P30"/>
    <mergeCell ref="G31:H31"/>
    <mergeCell ref="K31:L31"/>
    <mergeCell ref="O31:P31"/>
    <mergeCell ref="G32:H32"/>
    <mergeCell ref="K32:L32"/>
    <mergeCell ref="O32:P32"/>
    <mergeCell ref="A27:P27"/>
    <mergeCell ref="A29:A30"/>
    <mergeCell ref="B29:B30"/>
    <mergeCell ref="C29:C30"/>
    <mergeCell ref="D29:D30"/>
    <mergeCell ref="E29:H29"/>
    <mergeCell ref="I29:L29"/>
    <mergeCell ref="M29:P29"/>
    <mergeCell ref="G30:H30"/>
    <mergeCell ref="K30:L30"/>
    <mergeCell ref="C23:D23"/>
    <mergeCell ref="G23:H23"/>
    <mergeCell ref="K23:L23"/>
    <mergeCell ref="O23:P23"/>
    <mergeCell ref="C22:D22"/>
    <mergeCell ref="G22:H22"/>
    <mergeCell ref="K22:L22"/>
    <mergeCell ref="O22:P22"/>
    <mergeCell ref="G20:H20"/>
    <mergeCell ref="K20:L20"/>
    <mergeCell ref="O20:P20"/>
    <mergeCell ref="C21:D21"/>
    <mergeCell ref="G21:H21"/>
    <mergeCell ref="K21:L21"/>
    <mergeCell ref="O21:P21"/>
    <mergeCell ref="C13:D13"/>
    <mergeCell ref="A17:P17"/>
    <mergeCell ref="A19:A20"/>
    <mergeCell ref="B19:B20"/>
    <mergeCell ref="C19:D20"/>
    <mergeCell ref="E19:H19"/>
    <mergeCell ref="I19:L19"/>
    <mergeCell ref="M19:P19"/>
    <mergeCell ref="C7:D7"/>
    <mergeCell ref="C8:D8"/>
    <mergeCell ref="C9:D9"/>
    <mergeCell ref="C10:D10"/>
    <mergeCell ref="C11:D11"/>
    <mergeCell ref="C12:D12"/>
    <mergeCell ref="A1:P1"/>
    <mergeCell ref="A2:P2"/>
    <mergeCell ref="A3:P3"/>
    <mergeCell ref="A5:A6"/>
    <mergeCell ref="B5:B6"/>
    <mergeCell ref="C5:D6"/>
    <mergeCell ref="E5:H5"/>
    <mergeCell ref="I5:L5"/>
    <mergeCell ref="M5:P5"/>
  </mergeCells>
  <conditionalFormatting sqref="G58:H98">
    <cfRule type="expression" dxfId="74" priority="52">
      <formula>$G$97&lt;0</formula>
    </cfRule>
  </conditionalFormatting>
  <conditionalFormatting sqref="K97:L98">
    <cfRule type="expression" dxfId="73" priority="51">
      <formula>$K$97&lt;0</formula>
    </cfRule>
  </conditionalFormatting>
  <conditionalFormatting sqref="O97:P98">
    <cfRule type="expression" dxfId="72" priority="50">
      <formula>$O$97&lt;0</formula>
    </cfRule>
  </conditionalFormatting>
  <conditionalFormatting sqref="G107:H110 K122:L122 K114:L119 O122:P122 O114:P119 G112:H123">
    <cfRule type="expression" dxfId="71" priority="49">
      <formula>$G$122&lt;0</formula>
    </cfRule>
  </conditionalFormatting>
  <conditionalFormatting sqref="K123:L123">
    <cfRule type="expression" dxfId="70" priority="48">
      <formula>$K$122&lt;0</formula>
    </cfRule>
  </conditionalFormatting>
  <conditionalFormatting sqref="O123:P123">
    <cfRule type="expression" dxfId="69" priority="47">
      <formula>$O$122&lt;0</formula>
    </cfRule>
  </conditionalFormatting>
  <conditionalFormatting sqref="K58:L96">
    <cfRule type="expression" dxfId="68" priority="43">
      <formula>$G$97&lt;0</formula>
    </cfRule>
  </conditionalFormatting>
  <conditionalFormatting sqref="O58:P96">
    <cfRule type="expression" dxfId="67" priority="42">
      <formula>$G$97&lt;0</formula>
    </cfRule>
  </conditionalFormatting>
  <conditionalFormatting sqref="E58:P97">
    <cfRule type="containsBlanks" dxfId="66" priority="54">
      <formula>LEN(TRIM(E58))=0</formula>
    </cfRule>
  </conditionalFormatting>
  <conditionalFormatting sqref="H12:I12 E12 L12:M12 E8:P11 P12">
    <cfRule type="containsBlanks" dxfId="65" priority="118">
      <formula>LEN(TRIM(E8))=0</formula>
    </cfRule>
  </conditionalFormatting>
  <conditionalFormatting sqref="H8:H13">
    <cfRule type="expression" dxfId="64" priority="39">
      <formula>$H$12&lt;0</formula>
    </cfRule>
  </conditionalFormatting>
  <conditionalFormatting sqref="L8:L13">
    <cfRule type="expression" dxfId="63" priority="38">
      <formula>$L$12&lt;0</formula>
    </cfRule>
  </conditionalFormatting>
  <conditionalFormatting sqref="P8:P13">
    <cfRule type="expression" dxfId="62" priority="37">
      <formula>$P$12&lt;0</formula>
    </cfRule>
  </conditionalFormatting>
  <conditionalFormatting sqref="K107:L110 K112:L112">
    <cfRule type="expression" dxfId="61" priority="36">
      <formula>$G$122&lt;0</formula>
    </cfRule>
  </conditionalFormatting>
  <conditionalFormatting sqref="O107:P110 O112:P112">
    <cfRule type="expression" dxfId="60" priority="35">
      <formula>$G$122&lt;0</formula>
    </cfRule>
  </conditionalFormatting>
  <conditionalFormatting sqref="I107:J110 M107:N110 E112:F122 M112:N122 I112:J122 E107:F110">
    <cfRule type="containsBlanks" dxfId="59" priority="53">
      <formula>LEN(TRIM(E107))=0</formula>
    </cfRule>
  </conditionalFormatting>
  <conditionalFormatting sqref="E132:P134">
    <cfRule type="containsBlanks" dxfId="58" priority="34">
      <formula>LEN(TRIM(E132))=0</formula>
    </cfRule>
  </conditionalFormatting>
  <conditionalFormatting sqref="E144:P146">
    <cfRule type="containsBlanks" dxfId="57" priority="33">
      <formula>LEN(TRIM(E144))=0</formula>
    </cfRule>
  </conditionalFormatting>
  <conditionalFormatting sqref="E46:P48">
    <cfRule type="containsBlanks" dxfId="56" priority="31">
      <formula>LEN(TRIM(E46))=0</formula>
    </cfRule>
  </conditionalFormatting>
  <conditionalFormatting sqref="E22:P22">
    <cfRule type="containsBlanks" dxfId="55" priority="30">
      <formula>LEN(TRIM(E22))=0</formula>
    </cfRule>
  </conditionalFormatting>
  <conditionalFormatting sqref="G156:H159 G161:H166">
    <cfRule type="expression" dxfId="54" priority="26">
      <formula>$G$165&lt;0</formula>
    </cfRule>
  </conditionalFormatting>
  <conditionalFormatting sqref="K156:L159 K161:L166">
    <cfRule type="expression" dxfId="53" priority="25">
      <formula>$K$165&lt;0</formula>
    </cfRule>
  </conditionalFormatting>
  <conditionalFormatting sqref="O156:P159 O161:P166">
    <cfRule type="expression" dxfId="52" priority="24">
      <formula>$O$165&lt;0</formula>
    </cfRule>
  </conditionalFormatting>
  <conditionalFormatting sqref="E156:P159 E161:P164 G165:P165">
    <cfRule type="containsBlanks" dxfId="51" priority="23">
      <formula>LEN(TRIM(E156))=0</formula>
    </cfRule>
  </conditionalFormatting>
  <conditionalFormatting sqref="G22:H23">
    <cfRule type="expression" dxfId="50" priority="113">
      <formula>$G$23&lt;0</formula>
    </cfRule>
  </conditionalFormatting>
  <conditionalFormatting sqref="K22:L23">
    <cfRule type="expression" dxfId="49" priority="115">
      <formula>#REF!&lt;0</formula>
    </cfRule>
  </conditionalFormatting>
  <conditionalFormatting sqref="O21:P23">
    <cfRule type="expression" dxfId="48" priority="117">
      <formula>#REF!&lt;0</formula>
    </cfRule>
  </conditionalFormatting>
  <conditionalFormatting sqref="F12">
    <cfRule type="containsBlanks" dxfId="47" priority="21">
      <formula>LEN(TRIM(F12))=0</formula>
    </cfRule>
  </conditionalFormatting>
  <conditionalFormatting sqref="G12">
    <cfRule type="containsBlanks" dxfId="46" priority="20">
      <formula>LEN(TRIM(G12))=0</formula>
    </cfRule>
  </conditionalFormatting>
  <conditionalFormatting sqref="J12">
    <cfRule type="containsBlanks" dxfId="45" priority="19">
      <formula>LEN(TRIM(J12))=0</formula>
    </cfRule>
  </conditionalFormatting>
  <conditionalFormatting sqref="K12">
    <cfRule type="containsBlanks" dxfId="44" priority="18">
      <formula>LEN(TRIM(K12))=0</formula>
    </cfRule>
  </conditionalFormatting>
  <conditionalFormatting sqref="N12">
    <cfRule type="containsBlanks" dxfId="43" priority="17">
      <formula>LEN(TRIM(N12))=0</formula>
    </cfRule>
  </conditionalFormatting>
  <conditionalFormatting sqref="O12">
    <cfRule type="containsBlanks" dxfId="42" priority="16">
      <formula>LEN(TRIM(O12))=0</formula>
    </cfRule>
  </conditionalFormatting>
  <conditionalFormatting sqref="K120:L120">
    <cfRule type="expression" dxfId="41" priority="15">
      <formula>$G$122&lt;0</formula>
    </cfRule>
  </conditionalFormatting>
  <conditionalFormatting sqref="O120:P120">
    <cfRule type="expression" dxfId="40" priority="14">
      <formula>$G$122&lt;0</formula>
    </cfRule>
  </conditionalFormatting>
  <conditionalFormatting sqref="K121:L121">
    <cfRule type="expression" dxfId="39" priority="13">
      <formula>$G$122&lt;0</formula>
    </cfRule>
  </conditionalFormatting>
  <conditionalFormatting sqref="O121:P121">
    <cfRule type="expression" dxfId="38" priority="12">
      <formula>$G$122&lt;0</formula>
    </cfRule>
  </conditionalFormatting>
  <conditionalFormatting sqref="K113:L113">
    <cfRule type="expression" dxfId="37" priority="11">
      <formula>$G$122&lt;0</formula>
    </cfRule>
  </conditionalFormatting>
  <conditionalFormatting sqref="O113:P113">
    <cfRule type="expression" dxfId="36" priority="10">
      <formula>$G$122&lt;0</formula>
    </cfRule>
  </conditionalFormatting>
  <conditionalFormatting sqref="G111:H111">
    <cfRule type="expression" dxfId="35" priority="8">
      <formula>$G$122&lt;0</formula>
    </cfRule>
  </conditionalFormatting>
  <conditionalFormatting sqref="K111:L111">
    <cfRule type="expression" dxfId="34" priority="7">
      <formula>$G$122&lt;0</formula>
    </cfRule>
  </conditionalFormatting>
  <conditionalFormatting sqref="O111:P111">
    <cfRule type="expression" dxfId="33" priority="6">
      <formula>$G$122&lt;0</formula>
    </cfRule>
  </conditionalFormatting>
  <conditionalFormatting sqref="I111:J111 M111:N111 E111:F111">
    <cfRule type="containsBlanks" dxfId="32" priority="9">
      <formula>LEN(TRIM(E111))=0</formula>
    </cfRule>
  </conditionalFormatting>
  <conditionalFormatting sqref="G160:H160">
    <cfRule type="expression" dxfId="31" priority="5">
      <formula>$G$165&lt;0</formula>
    </cfRule>
  </conditionalFormatting>
  <conditionalFormatting sqref="K160:L160">
    <cfRule type="expression" dxfId="30" priority="4">
      <formula>$K$165&lt;0</formula>
    </cfRule>
  </conditionalFormatting>
  <conditionalFormatting sqref="O160:P160">
    <cfRule type="expression" dxfId="29" priority="3">
      <formula>$O$165&lt;0</formula>
    </cfRule>
  </conditionalFormatting>
  <conditionalFormatting sqref="E160:P160">
    <cfRule type="containsBlanks" dxfId="28" priority="2">
      <formula>LEN(TRIM(E160))=0</formula>
    </cfRule>
  </conditionalFormatting>
  <conditionalFormatting sqref="E165:F165">
    <cfRule type="containsBlanks" dxfId="27" priority="1">
      <formula>LEN(TRIM(E165))=0</formula>
    </cfRule>
  </conditionalFormatting>
  <pageMargins left="0.19685039370078741" right="0.19685039370078741" top="0.74803149606299213" bottom="0.19685039370078741" header="0.31496062992125984" footer="0.31496062992125984"/>
  <pageSetup paperSize="9" scale="63"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2">
    <pageSetUpPr fitToPage="1"/>
  </sheetPr>
  <dimension ref="A1:V182"/>
  <sheetViews>
    <sheetView view="pageBreakPreview" topLeftCell="A19" zoomScale="60" zoomScaleNormal="70" workbookViewId="0">
      <selection activeCell="U46" sqref="U46"/>
    </sheetView>
  </sheetViews>
  <sheetFormatPr defaultRowHeight="15.75" x14ac:dyDescent="0.25"/>
  <cols>
    <col min="1" max="1" width="11.28515625" customWidth="1"/>
    <col min="2" max="2" width="4.85546875" style="507" customWidth="1"/>
    <col min="3" max="3" width="41.140625" customWidth="1"/>
    <col min="4" max="4" width="12.42578125" customWidth="1"/>
    <col min="5" max="16" width="12.7109375" customWidth="1"/>
    <col min="17" max="19" width="9.140625" style="533"/>
    <col min="20" max="20" width="9.140625" style="378"/>
  </cols>
  <sheetData>
    <row r="1" spans="1:20" s="449" customFormat="1" ht="27.75" customHeight="1" x14ac:dyDescent="0.2">
      <c r="A1" s="1281" t="s">
        <v>793</v>
      </c>
      <c r="B1" s="1281"/>
      <c r="C1" s="1281"/>
      <c r="D1" s="1281"/>
      <c r="E1" s="1281"/>
      <c r="F1" s="1281"/>
      <c r="G1" s="1281"/>
      <c r="H1" s="1281"/>
      <c r="I1" s="1281"/>
      <c r="J1" s="1281"/>
      <c r="K1" s="1281"/>
      <c r="L1" s="1281"/>
      <c r="M1" s="1281"/>
      <c r="N1" s="1281"/>
      <c r="O1" s="1281"/>
      <c r="P1" s="1281"/>
      <c r="Q1" s="523"/>
      <c r="R1" s="523"/>
      <c r="S1" s="523"/>
      <c r="T1" s="448"/>
    </row>
    <row r="2" spans="1:20" s="449" customFormat="1" ht="27.75" customHeight="1" x14ac:dyDescent="0.2">
      <c r="A2" s="1134" t="s">
        <v>613</v>
      </c>
      <c r="B2" s="1134"/>
      <c r="C2" s="1134"/>
      <c r="D2" s="1134"/>
      <c r="E2" s="1134"/>
      <c r="F2" s="1134"/>
      <c r="G2" s="1134"/>
      <c r="H2" s="1134"/>
      <c r="I2" s="1134"/>
      <c r="J2" s="1134"/>
      <c r="K2" s="1134"/>
      <c r="L2" s="1134"/>
      <c r="M2" s="1134"/>
      <c r="N2" s="1134"/>
      <c r="O2" s="1134"/>
      <c r="P2" s="1134"/>
      <c r="Q2" s="523"/>
      <c r="R2" s="523"/>
      <c r="S2" s="523"/>
      <c r="T2" s="448"/>
    </row>
    <row r="3" spans="1:20" s="449" customFormat="1" ht="27.75" customHeight="1" x14ac:dyDescent="0.2">
      <c r="A3" s="989" t="s">
        <v>614</v>
      </c>
      <c r="B3" s="989"/>
      <c r="C3" s="989"/>
      <c r="D3" s="989"/>
      <c r="E3" s="989"/>
      <c r="F3" s="989"/>
      <c r="G3" s="989"/>
      <c r="H3" s="989"/>
      <c r="I3" s="989"/>
      <c r="J3" s="989"/>
      <c r="K3" s="989"/>
      <c r="L3" s="989"/>
      <c r="M3" s="989"/>
      <c r="N3" s="989"/>
      <c r="O3" s="989"/>
      <c r="P3" s="989"/>
      <c r="Q3" s="523"/>
      <c r="R3" s="523"/>
      <c r="S3" s="523"/>
      <c r="T3" s="448"/>
    </row>
    <row r="4" spans="1:20" s="374" customFormat="1" ht="12" customHeight="1" x14ac:dyDescent="0.2">
      <c r="B4" s="506"/>
      <c r="Q4" s="531"/>
      <c r="R4" s="531"/>
      <c r="S4" s="531"/>
      <c r="T4" s="376"/>
    </row>
    <row r="5" spans="1:20" s="374" customFormat="1" ht="33.75" customHeight="1" x14ac:dyDescent="0.2">
      <c r="A5" s="1034" t="s">
        <v>598</v>
      </c>
      <c r="B5" s="1000" t="s">
        <v>484</v>
      </c>
      <c r="C5" s="1282" t="s">
        <v>610</v>
      </c>
      <c r="D5" s="1283"/>
      <c r="E5" s="1176" t="s">
        <v>831</v>
      </c>
      <c r="F5" s="1177"/>
      <c r="G5" s="1177"/>
      <c r="H5" s="1262"/>
      <c r="I5" s="1179" t="s">
        <v>825</v>
      </c>
      <c r="J5" s="1180"/>
      <c r="K5" s="1180"/>
      <c r="L5" s="1181"/>
      <c r="M5" s="1190" t="s">
        <v>823</v>
      </c>
      <c r="N5" s="1180"/>
      <c r="O5" s="1180"/>
      <c r="P5" s="1181"/>
      <c r="Q5" s="531"/>
      <c r="R5" s="531"/>
      <c r="S5" s="531"/>
      <c r="T5" s="376"/>
    </row>
    <row r="6" spans="1:20" s="374" customFormat="1" ht="38.25" x14ac:dyDescent="0.2">
      <c r="A6" s="1035"/>
      <c r="B6" s="1036"/>
      <c r="C6" s="1284"/>
      <c r="D6" s="1285"/>
      <c r="E6" s="402" t="s">
        <v>615</v>
      </c>
      <c r="F6" s="403" t="s">
        <v>612</v>
      </c>
      <c r="G6" s="403" t="s">
        <v>616</v>
      </c>
      <c r="H6" s="404" t="s">
        <v>553</v>
      </c>
      <c r="I6" s="405" t="s">
        <v>615</v>
      </c>
      <c r="J6" s="403" t="s">
        <v>612</v>
      </c>
      <c r="K6" s="403" t="s">
        <v>616</v>
      </c>
      <c r="L6" s="406" t="s">
        <v>553</v>
      </c>
      <c r="M6" s="402" t="s">
        <v>615</v>
      </c>
      <c r="N6" s="403" t="s">
        <v>612</v>
      </c>
      <c r="O6" s="403" t="s">
        <v>616</v>
      </c>
      <c r="P6" s="406" t="s">
        <v>553</v>
      </c>
      <c r="Q6" s="531"/>
      <c r="R6" s="531"/>
      <c r="S6" s="531"/>
      <c r="T6" s="376"/>
    </row>
    <row r="7" spans="1:20" s="374" customFormat="1" x14ac:dyDescent="0.2">
      <c r="A7" s="417" t="s">
        <v>6</v>
      </c>
      <c r="B7" s="733" t="s">
        <v>7</v>
      </c>
      <c r="C7" s="1004" t="s">
        <v>8</v>
      </c>
      <c r="D7" s="1005"/>
      <c r="E7" s="416" t="s">
        <v>9</v>
      </c>
      <c r="F7" s="408" t="s">
        <v>10</v>
      </c>
      <c r="G7" s="408" t="s">
        <v>467</v>
      </c>
      <c r="H7" s="410" t="s">
        <v>617</v>
      </c>
      <c r="I7" s="417" t="s">
        <v>465</v>
      </c>
      <c r="J7" s="408" t="s">
        <v>464</v>
      </c>
      <c r="K7" s="408" t="s">
        <v>463</v>
      </c>
      <c r="L7" s="409" t="s">
        <v>618</v>
      </c>
      <c r="M7" s="416" t="s">
        <v>469</v>
      </c>
      <c r="N7" s="408" t="s">
        <v>574</v>
      </c>
      <c r="O7" s="408" t="s">
        <v>619</v>
      </c>
      <c r="P7" s="409" t="s">
        <v>620</v>
      </c>
      <c r="Q7" s="531"/>
      <c r="R7" s="531"/>
      <c r="S7" s="531"/>
      <c r="T7" s="376"/>
    </row>
    <row r="8" spans="1:20" s="334" customFormat="1" ht="27.75" customHeight="1" x14ac:dyDescent="0.2">
      <c r="A8" s="486">
        <v>244</v>
      </c>
      <c r="B8" s="491">
        <v>1</v>
      </c>
      <c r="C8" s="1167" t="s">
        <v>680</v>
      </c>
      <c r="D8" s="1240"/>
      <c r="E8" s="649"/>
      <c r="F8" s="647"/>
      <c r="G8" s="655"/>
      <c r="H8" s="677">
        <f>E8*F8*G8</f>
        <v>0</v>
      </c>
      <c r="I8" s="646"/>
      <c r="J8" s="647"/>
      <c r="K8" s="655"/>
      <c r="L8" s="656">
        <f>I8*J8*K8</f>
        <v>0</v>
      </c>
      <c r="M8" s="649"/>
      <c r="N8" s="647"/>
      <c r="O8" s="655"/>
      <c r="P8" s="656">
        <f>M8*N8*O8</f>
        <v>0</v>
      </c>
      <c r="Q8" s="523"/>
      <c r="R8" s="523"/>
      <c r="S8" s="523"/>
      <c r="T8" s="379"/>
    </row>
    <row r="9" spans="1:20" s="334" customFormat="1" ht="27.75" customHeight="1" x14ac:dyDescent="0.2">
      <c r="A9" s="452">
        <v>244</v>
      </c>
      <c r="B9" s="450">
        <v>2</v>
      </c>
      <c r="C9" s="1186" t="s">
        <v>684</v>
      </c>
      <c r="D9" s="1244"/>
      <c r="E9" s="463"/>
      <c r="F9" s="464"/>
      <c r="G9" s="580"/>
      <c r="H9" s="678">
        <f t="shared" ref="H9:H11" si="0">E9*F9*G9</f>
        <v>0</v>
      </c>
      <c r="I9" s="465"/>
      <c r="J9" s="464"/>
      <c r="K9" s="580"/>
      <c r="L9" s="581">
        <f t="shared" ref="L9:L11" si="1">I9*J9*K9</f>
        <v>0</v>
      </c>
      <c r="M9" s="463"/>
      <c r="N9" s="464"/>
      <c r="O9" s="580"/>
      <c r="P9" s="581">
        <f t="shared" ref="P9:P11" si="2">M9*N9*O9</f>
        <v>0</v>
      </c>
      <c r="Q9" s="523"/>
      <c r="R9" s="523"/>
      <c r="S9" s="523"/>
      <c r="T9" s="379"/>
    </row>
    <row r="10" spans="1:20" s="334" customFormat="1" ht="27.75" customHeight="1" x14ac:dyDescent="0.2">
      <c r="A10" s="452">
        <v>244</v>
      </c>
      <c r="B10" s="450">
        <v>3</v>
      </c>
      <c r="C10" s="1186" t="s">
        <v>685</v>
      </c>
      <c r="D10" s="1244"/>
      <c r="E10" s="463"/>
      <c r="F10" s="464"/>
      <c r="G10" s="580"/>
      <c r="H10" s="678">
        <f t="shared" si="0"/>
        <v>0</v>
      </c>
      <c r="I10" s="465"/>
      <c r="J10" s="464"/>
      <c r="K10" s="580"/>
      <c r="L10" s="581">
        <f t="shared" si="1"/>
        <v>0</v>
      </c>
      <c r="M10" s="463"/>
      <c r="N10" s="464"/>
      <c r="O10" s="580"/>
      <c r="P10" s="581">
        <f t="shared" si="2"/>
        <v>0</v>
      </c>
      <c r="Q10" s="523"/>
      <c r="R10" s="523"/>
      <c r="S10" s="523"/>
      <c r="T10" s="379"/>
    </row>
    <row r="11" spans="1:20" s="334" customFormat="1" ht="27.75" customHeight="1" x14ac:dyDescent="0.2">
      <c r="A11" s="452">
        <v>244</v>
      </c>
      <c r="B11" s="450">
        <v>4</v>
      </c>
      <c r="C11" s="1186" t="s">
        <v>686</v>
      </c>
      <c r="D11" s="1244"/>
      <c r="E11" s="463"/>
      <c r="F11" s="464"/>
      <c r="G11" s="580"/>
      <c r="H11" s="678">
        <f t="shared" si="0"/>
        <v>0</v>
      </c>
      <c r="I11" s="465"/>
      <c r="J11" s="464"/>
      <c r="K11" s="580"/>
      <c r="L11" s="581">
        <f t="shared" si="1"/>
        <v>0</v>
      </c>
      <c r="M11" s="463"/>
      <c r="N11" s="464"/>
      <c r="O11" s="580"/>
      <c r="P11" s="581">
        <f t="shared" si="2"/>
        <v>0</v>
      </c>
      <c r="Q11" s="523"/>
      <c r="R11" s="523"/>
      <c r="S11" s="523"/>
      <c r="T11" s="379"/>
    </row>
    <row r="12" spans="1:20" s="334" customFormat="1" ht="27.75" customHeight="1" x14ac:dyDescent="0.2">
      <c r="A12" s="452">
        <v>244</v>
      </c>
      <c r="B12" s="450">
        <v>5</v>
      </c>
      <c r="C12" s="1186" t="s">
        <v>681</v>
      </c>
      <c r="D12" s="1244"/>
      <c r="E12" s="463"/>
      <c r="F12" s="464"/>
      <c r="G12" s="580"/>
      <c r="H12" s="678">
        <f>H13-SUM(H8:H11)</f>
        <v>0</v>
      </c>
      <c r="I12" s="465"/>
      <c r="J12" s="464"/>
      <c r="K12" s="580"/>
      <c r="L12" s="581">
        <f>L13-SUM(L8:L11)</f>
        <v>0</v>
      </c>
      <c r="M12" s="463"/>
      <c r="N12" s="464"/>
      <c r="O12" s="580"/>
      <c r="P12" s="581">
        <f>P13-SUM(P8:P11)</f>
        <v>0</v>
      </c>
      <c r="Q12" s="523"/>
      <c r="R12" s="523"/>
      <c r="S12" s="523"/>
      <c r="T12" s="379"/>
    </row>
    <row r="13" spans="1:20" s="334" customFormat="1" ht="27.75" customHeight="1" x14ac:dyDescent="0.2">
      <c r="A13" s="508"/>
      <c r="B13" s="509"/>
      <c r="C13" s="1258" t="s">
        <v>611</v>
      </c>
      <c r="D13" s="1259"/>
      <c r="E13" s="510" t="s">
        <v>462</v>
      </c>
      <c r="F13" s="511" t="s">
        <v>462</v>
      </c>
      <c r="G13" s="511" t="s">
        <v>462</v>
      </c>
      <c r="H13" s="679">
        <f>SUMIFS(Титульный!$E$13:$E$157,
Титульный!$A$13:$A$157,'Расходы КФО 5'!$Q13,
Титульный!$B$13:$B$157,'Расходы КФО 5'!$R13,
Титульный!$D$13:$D$157,'Расходы КФО 5'!$S13)</f>
        <v>0</v>
      </c>
      <c r="I13" s="512" t="s">
        <v>462</v>
      </c>
      <c r="J13" s="511" t="s">
        <v>462</v>
      </c>
      <c r="K13" s="511" t="s">
        <v>462</v>
      </c>
      <c r="L13" s="670">
        <f>SUMIFS(Титульный!$F$13:$F$157,
Титульный!$A$13:$A$157,'Расходы КФО 5'!$Q13,
Титульный!$B$13:$B$157,'Расходы КФО 5'!$R13,
Титульный!$D$13:$D$157,'Расходы КФО 5'!$S13)</f>
        <v>0</v>
      </c>
      <c r="M13" s="510" t="s">
        <v>462</v>
      </c>
      <c r="N13" s="511" t="s">
        <v>462</v>
      </c>
      <c r="O13" s="511" t="s">
        <v>462</v>
      </c>
      <c r="P13" s="670">
        <f>SUMIFS(Титульный!$G$13:$G$157,
Титульный!$A$13:$A$157,'Расходы КФО 5'!$Q13,
Титульный!$B$13:$B$157,'Расходы КФО 5'!$R13,
Титульный!$D$13:$D$157,'Расходы КФО 5'!$S13)</f>
        <v>0</v>
      </c>
      <c r="Q13" s="523">
        <v>5</v>
      </c>
      <c r="R13" s="523">
        <v>244</v>
      </c>
      <c r="S13" s="523">
        <v>221</v>
      </c>
      <c r="T13" s="379"/>
    </row>
    <row r="14" spans="1:20" s="374" customFormat="1" ht="12" customHeight="1" x14ac:dyDescent="0.2">
      <c r="B14" s="506"/>
      <c r="G14" s="374">
        <f>FIND("2021",E5)</f>
        <v>4</v>
      </c>
      <c r="Q14" s="531"/>
      <c r="R14" s="531"/>
      <c r="S14" s="531"/>
      <c r="T14" s="376"/>
    </row>
    <row r="15" spans="1:20" s="374" customFormat="1" ht="12" customHeight="1" x14ac:dyDescent="0.2">
      <c r="B15" s="506"/>
      <c r="Q15" s="531"/>
      <c r="R15" s="531"/>
      <c r="S15" s="531"/>
      <c r="T15" s="376"/>
    </row>
    <row r="16" spans="1:20" s="374" customFormat="1" ht="12" customHeight="1" x14ac:dyDescent="0.2">
      <c r="B16" s="506"/>
      <c r="Q16" s="531"/>
      <c r="R16" s="531"/>
      <c r="S16" s="531"/>
      <c r="T16" s="376"/>
    </row>
    <row r="17" spans="1:20" s="449" customFormat="1" ht="27.75" customHeight="1" x14ac:dyDescent="0.2">
      <c r="A17" s="989" t="s">
        <v>621</v>
      </c>
      <c r="B17" s="989"/>
      <c r="C17" s="989"/>
      <c r="D17" s="989"/>
      <c r="E17" s="989"/>
      <c r="F17" s="989"/>
      <c r="G17" s="989"/>
      <c r="H17" s="989"/>
      <c r="I17" s="989"/>
      <c r="J17" s="989"/>
      <c r="K17" s="989"/>
      <c r="L17" s="989"/>
      <c r="M17" s="989"/>
      <c r="N17" s="989"/>
      <c r="O17" s="989"/>
      <c r="P17" s="989"/>
      <c r="Q17" s="523"/>
      <c r="R17" s="523"/>
      <c r="S17" s="523"/>
      <c r="T17" s="448"/>
    </row>
    <row r="18" spans="1:20" s="374" customFormat="1" ht="12" customHeight="1" x14ac:dyDescent="0.2">
      <c r="B18" s="506"/>
      <c r="Q18" s="531"/>
      <c r="R18" s="531"/>
      <c r="S18" s="531"/>
      <c r="T18" s="376"/>
    </row>
    <row r="19" spans="1:20" s="374" customFormat="1" ht="33" customHeight="1" x14ac:dyDescent="0.2">
      <c r="A19" s="1034" t="s">
        <v>598</v>
      </c>
      <c r="B19" s="1000" t="s">
        <v>484</v>
      </c>
      <c r="C19" s="1282" t="s">
        <v>610</v>
      </c>
      <c r="D19" s="1283"/>
      <c r="E19" s="1176" t="s">
        <v>831</v>
      </c>
      <c r="F19" s="1177"/>
      <c r="G19" s="1177"/>
      <c r="H19" s="1262"/>
      <c r="I19" s="1179" t="s">
        <v>825</v>
      </c>
      <c r="J19" s="1180"/>
      <c r="K19" s="1180"/>
      <c r="L19" s="1181"/>
      <c r="M19" s="1190" t="s">
        <v>823</v>
      </c>
      <c r="N19" s="1180"/>
      <c r="O19" s="1180"/>
      <c r="P19" s="1181"/>
      <c r="Q19" s="531"/>
      <c r="R19" s="531"/>
      <c r="S19" s="531"/>
      <c r="T19" s="376"/>
    </row>
    <row r="20" spans="1:20" s="374" customFormat="1" ht="51" x14ac:dyDescent="0.2">
      <c r="A20" s="1035"/>
      <c r="B20" s="1036"/>
      <c r="C20" s="1284"/>
      <c r="D20" s="1285"/>
      <c r="E20" s="399" t="s">
        <v>622</v>
      </c>
      <c r="F20" s="401" t="s">
        <v>623</v>
      </c>
      <c r="G20" s="1203" t="s">
        <v>553</v>
      </c>
      <c r="H20" s="1204"/>
      <c r="I20" s="399" t="s">
        <v>622</v>
      </c>
      <c r="J20" s="401" t="s">
        <v>623</v>
      </c>
      <c r="K20" s="1203" t="s">
        <v>553</v>
      </c>
      <c r="L20" s="1204"/>
      <c r="M20" s="399" t="s">
        <v>622</v>
      </c>
      <c r="N20" s="401" t="s">
        <v>623</v>
      </c>
      <c r="O20" s="1203" t="s">
        <v>553</v>
      </c>
      <c r="P20" s="1204"/>
      <c r="Q20" s="531"/>
      <c r="R20" s="531"/>
      <c r="S20" s="531"/>
      <c r="T20" s="376"/>
    </row>
    <row r="21" spans="1:20" s="333" customFormat="1" x14ac:dyDescent="0.2">
      <c r="A21" s="417" t="s">
        <v>6</v>
      </c>
      <c r="B21" s="720" t="s">
        <v>7</v>
      </c>
      <c r="C21" s="1260" t="s">
        <v>8</v>
      </c>
      <c r="D21" s="1261"/>
      <c r="E21" s="417">
        <v>4</v>
      </c>
      <c r="F21" s="408">
        <v>5</v>
      </c>
      <c r="G21" s="1004" t="s">
        <v>784</v>
      </c>
      <c r="H21" s="1005"/>
      <c r="I21" s="417">
        <v>7</v>
      </c>
      <c r="J21" s="408">
        <v>8</v>
      </c>
      <c r="K21" s="1004" t="s">
        <v>785</v>
      </c>
      <c r="L21" s="1005"/>
      <c r="M21" s="417" t="s">
        <v>463</v>
      </c>
      <c r="N21" s="408" t="s">
        <v>468</v>
      </c>
      <c r="O21" s="1004" t="s">
        <v>556</v>
      </c>
      <c r="P21" s="1005"/>
      <c r="Q21" s="532"/>
      <c r="R21" s="532"/>
      <c r="S21" s="532"/>
      <c r="T21" s="377"/>
    </row>
    <row r="22" spans="1:20" s="334" customFormat="1" ht="27.75" customHeight="1" x14ac:dyDescent="0.2">
      <c r="A22" s="486">
        <v>244</v>
      </c>
      <c r="B22" s="497" t="s">
        <v>6</v>
      </c>
      <c r="C22" s="1167" t="s">
        <v>682</v>
      </c>
      <c r="D22" s="1167"/>
      <c r="E22" s="646">
        <f>ROUNDUP(G22/10000,0)</f>
        <v>0</v>
      </c>
      <c r="F22" s="655">
        <f>IFERROR(ROUND(G22/E22,2),0)</f>
        <v>0</v>
      </c>
      <c r="G22" s="1069">
        <f>G23</f>
        <v>0</v>
      </c>
      <c r="H22" s="1071"/>
      <c r="I22" s="646">
        <f>ROUNDUP(K22/10000,0)</f>
        <v>0</v>
      </c>
      <c r="J22" s="655">
        <f>IFERROR(ROUND(K22/I22,2),0)</f>
        <v>0</v>
      </c>
      <c r="K22" s="1069">
        <f>K23</f>
        <v>0</v>
      </c>
      <c r="L22" s="1071"/>
      <c r="M22" s="646">
        <f>ROUNDUP(O22/10000,0)</f>
        <v>0</v>
      </c>
      <c r="N22" s="655">
        <f>IFERROR(ROUND(O22/M22,2),0)</f>
        <v>0</v>
      </c>
      <c r="O22" s="1069">
        <f>O23</f>
        <v>0</v>
      </c>
      <c r="P22" s="1071"/>
      <c r="Q22" s="523"/>
      <c r="R22" s="523"/>
      <c r="S22" s="523"/>
      <c r="T22" s="379"/>
    </row>
    <row r="23" spans="1:20" s="524" customFormat="1" ht="27.75" customHeight="1" x14ac:dyDescent="0.2">
      <c r="A23" s="508"/>
      <c r="B23" s="515"/>
      <c r="C23" s="1258" t="s">
        <v>611</v>
      </c>
      <c r="D23" s="1259"/>
      <c r="E23" s="512" t="s">
        <v>462</v>
      </c>
      <c r="F23" s="511" t="s">
        <v>462</v>
      </c>
      <c r="G23" s="1008">
        <f>SUMIFS(Титульный!$E$13:$E$157,Титульный!$A$13:$A$157,'Расходы КФО 5'!$Q23,Титульный!$B$13:$B$157,'Расходы КФО 5'!$R23,Титульный!$D$13:$D$157,'Расходы КФО 5'!$S23)</f>
        <v>0</v>
      </c>
      <c r="H23" s="1009">
        <f>SUMIFS(Титульный!$E$13:$E$157,Титульный!$A$13:$A$157,'Расходы КФО 5'!$Q23,Титульный!$B$13:$B$157,'Расходы КФО 5'!$R23,Титульный!$D$13:$D$157,'Расходы КФО 5'!$S23)</f>
        <v>0</v>
      </c>
      <c r="I23" s="512" t="s">
        <v>462</v>
      </c>
      <c r="J23" s="511" t="s">
        <v>462</v>
      </c>
      <c r="K23" s="1008">
        <f>SUMIFS(Титульный!$F$13:$F$157,
Титульный!$A$13:$A$157,'Расходы КФО 5'!$Q23,
Титульный!$B$13:$B$157,'Расходы КФО 5'!$R23,
Титульный!$D$13:$D$157,'Расходы КФО 5'!$S23)</f>
        <v>0</v>
      </c>
      <c r="L23" s="1009">
        <f>SUMIFS(Титульный!$F$13:$F$157,
Титульный!$A$13:$A$157,'Расходы КФО 5'!$Q23,
Титульный!$B$13:$B$157,'Расходы КФО 5'!$R23,
Титульный!$D$13:$D$157,'Расходы КФО 5'!$S23)</f>
        <v>0</v>
      </c>
      <c r="M23" s="512" t="s">
        <v>462</v>
      </c>
      <c r="N23" s="511" t="s">
        <v>462</v>
      </c>
      <c r="O23" s="1008">
        <f>SUMIFS(Титульный!$G$13:$G$157,
Титульный!$A$13:$A$157,'Расходы КФО 5'!$Q23,
Титульный!$B$13:$B$157,'Расходы КФО 5'!$R23,
Титульный!$D$13:$D$157,'Расходы КФО 5'!$S23)</f>
        <v>0</v>
      </c>
      <c r="P23" s="1009">
        <f>SUMIFS(Титульный!$G$13:$G$157,
Титульный!$A$13:$A$157,'Расходы КФО 5'!$Q23,
Титульный!$B$13:$B$157,'Расходы КФО 5'!$R23,
Титульный!$D$13:$D$157,'Расходы КФО 5'!$S23)</f>
        <v>0</v>
      </c>
      <c r="Q23" s="523">
        <v>5</v>
      </c>
      <c r="R23" s="523">
        <v>244</v>
      </c>
      <c r="S23" s="523">
        <v>222</v>
      </c>
      <c r="T23" s="523"/>
    </row>
    <row r="24" spans="1:20" s="374" customFormat="1" ht="12" customHeight="1" x14ac:dyDescent="0.2">
      <c r="B24" s="506"/>
      <c r="Q24" s="531"/>
      <c r="R24" s="531"/>
      <c r="S24" s="531"/>
      <c r="T24" s="376"/>
    </row>
    <row r="25" spans="1:20" s="374" customFormat="1" ht="12" customHeight="1" x14ac:dyDescent="0.2">
      <c r="B25" s="506"/>
      <c r="Q25" s="531"/>
      <c r="R25" s="531"/>
      <c r="S25" s="531"/>
      <c r="T25" s="376"/>
    </row>
    <row r="26" spans="1:20" s="374" customFormat="1" ht="12" customHeight="1" x14ac:dyDescent="0.2">
      <c r="B26" s="506"/>
      <c r="Q26" s="531"/>
      <c r="R26" s="531"/>
      <c r="S26" s="531"/>
      <c r="T26" s="376"/>
    </row>
    <row r="27" spans="1:20" s="449" customFormat="1" ht="27.75" customHeight="1" x14ac:dyDescent="0.2">
      <c r="A27" s="989" t="s">
        <v>624</v>
      </c>
      <c r="B27" s="989"/>
      <c r="C27" s="989"/>
      <c r="D27" s="989"/>
      <c r="E27" s="989"/>
      <c r="F27" s="989"/>
      <c r="G27" s="989"/>
      <c r="H27" s="989"/>
      <c r="I27" s="989"/>
      <c r="J27" s="989"/>
      <c r="K27" s="989"/>
      <c r="L27" s="989"/>
      <c r="M27" s="989"/>
      <c r="N27" s="989"/>
      <c r="O27" s="989"/>
      <c r="P27" s="989"/>
      <c r="Q27" s="523"/>
      <c r="R27" s="523"/>
      <c r="S27" s="523"/>
      <c r="T27" s="448"/>
    </row>
    <row r="28" spans="1:20" s="374" customFormat="1" ht="12" customHeight="1" x14ac:dyDescent="0.2">
      <c r="B28" s="506"/>
      <c r="Q28" s="531"/>
      <c r="R28" s="531"/>
      <c r="S28" s="531"/>
      <c r="T28" s="376"/>
    </row>
    <row r="29" spans="1:20" s="374" customFormat="1" ht="33.75" customHeight="1" x14ac:dyDescent="0.2">
      <c r="A29" s="1034" t="s">
        <v>598</v>
      </c>
      <c r="B29" s="1000" t="s">
        <v>484</v>
      </c>
      <c r="C29" s="1208" t="s">
        <v>0</v>
      </c>
      <c r="D29" s="1064" t="s">
        <v>229</v>
      </c>
      <c r="E29" s="1176" t="s">
        <v>831</v>
      </c>
      <c r="F29" s="1177"/>
      <c r="G29" s="1177"/>
      <c r="H29" s="1262"/>
      <c r="I29" s="1179" t="s">
        <v>825</v>
      </c>
      <c r="J29" s="1180"/>
      <c r="K29" s="1180"/>
      <c r="L29" s="1181"/>
      <c r="M29" s="1190" t="s">
        <v>823</v>
      </c>
      <c r="N29" s="1180"/>
      <c r="O29" s="1180"/>
      <c r="P29" s="1181"/>
      <c r="Q29" s="531"/>
      <c r="R29" s="531"/>
      <c r="S29" s="531"/>
      <c r="T29" s="376"/>
    </row>
    <row r="30" spans="1:20" s="374" customFormat="1" ht="38.25" x14ac:dyDescent="0.2">
      <c r="A30" s="1035"/>
      <c r="B30" s="1036"/>
      <c r="C30" s="1214"/>
      <c r="D30" s="1066"/>
      <c r="E30" s="399" t="s">
        <v>625</v>
      </c>
      <c r="F30" s="401" t="s">
        <v>626</v>
      </c>
      <c r="G30" s="1203" t="s">
        <v>553</v>
      </c>
      <c r="H30" s="1204"/>
      <c r="I30" s="399" t="s">
        <v>625</v>
      </c>
      <c r="J30" s="401" t="s">
        <v>626</v>
      </c>
      <c r="K30" s="1203" t="s">
        <v>553</v>
      </c>
      <c r="L30" s="1204"/>
      <c r="M30" s="399" t="s">
        <v>625</v>
      </c>
      <c r="N30" s="401" t="s">
        <v>626</v>
      </c>
      <c r="O30" s="1203" t="s">
        <v>553</v>
      </c>
      <c r="P30" s="1204"/>
      <c r="Q30" s="531"/>
      <c r="R30" s="531"/>
      <c r="S30" s="531"/>
      <c r="T30" s="376"/>
    </row>
    <row r="31" spans="1:20" s="333" customFormat="1" x14ac:dyDescent="0.2">
      <c r="A31" s="417" t="s">
        <v>6</v>
      </c>
      <c r="B31" s="720" t="s">
        <v>7</v>
      </c>
      <c r="C31" s="408" t="s">
        <v>8</v>
      </c>
      <c r="D31" s="409" t="s">
        <v>9</v>
      </c>
      <c r="E31" s="417">
        <v>5</v>
      </c>
      <c r="F31" s="408">
        <v>6</v>
      </c>
      <c r="G31" s="1004" t="s">
        <v>786</v>
      </c>
      <c r="H31" s="1005"/>
      <c r="I31" s="417">
        <v>8</v>
      </c>
      <c r="J31" s="408">
        <v>9</v>
      </c>
      <c r="K31" s="1004" t="s">
        <v>787</v>
      </c>
      <c r="L31" s="1005"/>
      <c r="M31" s="417">
        <v>11</v>
      </c>
      <c r="N31" s="408">
        <v>12</v>
      </c>
      <c r="O31" s="1004" t="s">
        <v>788</v>
      </c>
      <c r="P31" s="1005"/>
      <c r="Q31" s="532"/>
      <c r="R31" s="532"/>
      <c r="S31" s="532"/>
      <c r="T31" s="377"/>
    </row>
    <row r="32" spans="1:20" s="334" customFormat="1" ht="27.75" customHeight="1" x14ac:dyDescent="0.2">
      <c r="A32" s="475">
        <v>244</v>
      </c>
      <c r="B32" s="476" t="s">
        <v>6</v>
      </c>
      <c r="C32" s="477" t="s">
        <v>628</v>
      </c>
      <c r="D32" s="478" t="s">
        <v>790</v>
      </c>
      <c r="E32" s="680">
        <f>ROUND(G32/F32,2)</f>
        <v>0</v>
      </c>
      <c r="F32" s="655">
        <f>'Расходы КФО 2'!F32</f>
        <v>4024.91</v>
      </c>
      <c r="G32" s="1069">
        <f>ROUND(G37*0.750922071,2)</f>
        <v>0</v>
      </c>
      <c r="H32" s="1071"/>
      <c r="I32" s="680">
        <f>ROUND(K32/J32,2)</f>
        <v>0</v>
      </c>
      <c r="J32" s="655">
        <f>'Расходы КФО 2'!J32</f>
        <v>4181.8814899999998</v>
      </c>
      <c r="K32" s="1069">
        <f>ROUND(K37*0.750922071,2)</f>
        <v>0</v>
      </c>
      <c r="L32" s="1071"/>
      <c r="M32" s="680">
        <f>ROUND(O32/N32,2)</f>
        <v>0</v>
      </c>
      <c r="N32" s="655">
        <f>'Расходы КФО 2'!N32</f>
        <v>4344.9748681099991</v>
      </c>
      <c r="O32" s="1069">
        <f>ROUND(O37*0.750922071,2)</f>
        <v>0</v>
      </c>
      <c r="P32" s="1071"/>
      <c r="Q32" s="523"/>
      <c r="R32" s="523"/>
      <c r="S32" s="523"/>
      <c r="T32" s="379"/>
    </row>
    <row r="33" spans="1:20" s="334" customFormat="1" ht="27.75" customHeight="1" x14ac:dyDescent="0.2">
      <c r="A33" s="452">
        <v>244</v>
      </c>
      <c r="B33" s="451" t="s">
        <v>7</v>
      </c>
      <c r="C33" s="479" t="s">
        <v>627</v>
      </c>
      <c r="D33" s="453" t="s">
        <v>789</v>
      </c>
      <c r="E33" s="604">
        <f t="shared" ref="E33:E35" si="3">ROUND(G33/F33,2)</f>
        <v>0</v>
      </c>
      <c r="F33" s="717">
        <f>'Расходы КФО 2'!F33</f>
        <v>6.0406000000000004</v>
      </c>
      <c r="G33" s="1238">
        <f>ROUND(G37*0.188520356,2)</f>
        <v>0</v>
      </c>
      <c r="H33" s="1239"/>
      <c r="I33" s="604">
        <f t="shared" ref="I33:I35" si="4">ROUND(K33/J33,2)</f>
        <v>0</v>
      </c>
      <c r="J33" s="717">
        <f>'Расходы КФО 2'!J33</f>
        <v>6.2761833999999999</v>
      </c>
      <c r="K33" s="1238">
        <f>ROUND(K37*0.188520356,2)</f>
        <v>0</v>
      </c>
      <c r="L33" s="1239"/>
      <c r="M33" s="604">
        <f t="shared" ref="M33:M35" si="5">ROUND(O33/N33,2)</f>
        <v>0</v>
      </c>
      <c r="N33" s="717">
        <f>'Расходы КФО 2'!N33</f>
        <v>6.5209545525999992</v>
      </c>
      <c r="O33" s="1238">
        <f>ROUND(O37*0.188520356,2)</f>
        <v>0</v>
      </c>
      <c r="P33" s="1239"/>
      <c r="Q33" s="523"/>
      <c r="R33" s="523"/>
      <c r="S33" s="523"/>
      <c r="T33" s="379"/>
    </row>
    <row r="34" spans="1:20" s="334" customFormat="1" ht="27.75" customHeight="1" x14ac:dyDescent="0.2">
      <c r="A34" s="452">
        <v>244</v>
      </c>
      <c r="B34" s="451" t="s">
        <v>8</v>
      </c>
      <c r="C34" s="480" t="s">
        <v>629</v>
      </c>
      <c r="D34" s="453" t="s">
        <v>791</v>
      </c>
      <c r="E34" s="604">
        <f t="shared" si="3"/>
        <v>0</v>
      </c>
      <c r="F34" s="717">
        <f>'Расходы КФО 2'!F34</f>
        <v>57.463200000000001</v>
      </c>
      <c r="G34" s="1238">
        <f>ROUND(G37*0.043341343,2)</f>
        <v>0</v>
      </c>
      <c r="H34" s="1239"/>
      <c r="I34" s="604">
        <f t="shared" si="4"/>
        <v>0</v>
      </c>
      <c r="J34" s="717">
        <f>'Расходы КФО 2'!J34</f>
        <v>59.704264799999997</v>
      </c>
      <c r="K34" s="1238">
        <f>ROUND(K37*0.043341343,2)</f>
        <v>0</v>
      </c>
      <c r="L34" s="1239"/>
      <c r="M34" s="604">
        <f t="shared" si="5"/>
        <v>0</v>
      </c>
      <c r="N34" s="717">
        <f>'Расходы КФО 2'!N34</f>
        <v>62.032731127199995</v>
      </c>
      <c r="O34" s="1238">
        <f>ROUND(O37*0.043341343,2)</f>
        <v>0</v>
      </c>
      <c r="P34" s="1239"/>
      <c r="Q34" s="523"/>
      <c r="R34" s="523"/>
      <c r="S34" s="523"/>
      <c r="T34" s="379"/>
    </row>
    <row r="35" spans="1:20" s="334" customFormat="1" ht="27.75" customHeight="1" x14ac:dyDescent="0.2">
      <c r="A35" s="452">
        <v>244</v>
      </c>
      <c r="B35" s="451" t="s">
        <v>9</v>
      </c>
      <c r="C35" s="480" t="s">
        <v>630</v>
      </c>
      <c r="D35" s="453" t="s">
        <v>791</v>
      </c>
      <c r="E35" s="604">
        <f t="shared" si="3"/>
        <v>0</v>
      </c>
      <c r="F35" s="717">
        <f>'Расходы КФО 2'!F35</f>
        <v>866.95</v>
      </c>
      <c r="G35" s="1002">
        <f>G37-SUM(G32:H34)</f>
        <v>0</v>
      </c>
      <c r="H35" s="1003"/>
      <c r="I35" s="604">
        <f t="shared" si="4"/>
        <v>0</v>
      </c>
      <c r="J35" s="717">
        <f>'Расходы КФО 2'!J35</f>
        <v>866.95</v>
      </c>
      <c r="K35" s="1002">
        <f>K37-SUM(K32:L34)</f>
        <v>0</v>
      </c>
      <c r="L35" s="1003"/>
      <c r="M35" s="604">
        <f t="shared" si="5"/>
        <v>0</v>
      </c>
      <c r="N35" s="717">
        <f>'Расходы КФО 2'!N35</f>
        <v>866.95</v>
      </c>
      <c r="O35" s="1002">
        <f>O37-SUM(O32:P34)</f>
        <v>0</v>
      </c>
      <c r="P35" s="1003"/>
      <c r="Q35" s="523"/>
      <c r="R35" s="523"/>
      <c r="S35" s="523"/>
      <c r="T35" s="379"/>
    </row>
    <row r="36" spans="1:20" s="334" customFormat="1" ht="27.75" hidden="1" customHeight="1" x14ac:dyDescent="0.2">
      <c r="A36" s="481"/>
      <c r="B36" s="496"/>
      <c r="C36" s="483"/>
      <c r="D36" s="484"/>
      <c r="E36" s="681"/>
      <c r="F36" s="665"/>
      <c r="G36" s="1070"/>
      <c r="H36" s="1075"/>
      <c r="I36" s="681"/>
      <c r="J36" s="665"/>
      <c r="K36" s="1070"/>
      <c r="L36" s="1075"/>
      <c r="M36" s="681"/>
      <c r="N36" s="717">
        <f>'Расходы КФО 2'!N36</f>
        <v>0</v>
      </c>
      <c r="O36" s="1070"/>
      <c r="P36" s="1075"/>
      <c r="Q36" s="523"/>
      <c r="R36" s="523"/>
      <c r="S36" s="523"/>
      <c r="T36" s="379"/>
    </row>
    <row r="37" spans="1:20" s="524" customFormat="1" ht="27.75" customHeight="1" x14ac:dyDescent="0.2">
      <c r="A37" s="514"/>
      <c r="B37" s="515"/>
      <c r="C37" s="485" t="s">
        <v>611</v>
      </c>
      <c r="D37" s="516" t="s">
        <v>462</v>
      </c>
      <c r="E37" s="512" t="s">
        <v>462</v>
      </c>
      <c r="F37" s="511" t="s">
        <v>462</v>
      </c>
      <c r="G37" s="1008">
        <f>SUMIFS(Титульный!$E$13:$E$157,Титульный!$A$13:$A$157,'Расходы КФО 5'!$Q37,Титульный!$B$13:$B$157,'Расходы КФО 5'!$R37,Титульный!$D$13:$D$157,'Расходы КФО 5'!$S37)</f>
        <v>0</v>
      </c>
      <c r="H37" s="1009">
        <f>SUMIFS(Титульный!$E$13:$E$157,Титульный!$A$13:$A$157,'Расходы КФО 5'!$Q37,Титульный!$B$13:$B$157,'Расходы КФО 5'!$R37,Титульный!$D$13:$D$157,'Расходы КФО 5'!$S37)</f>
        <v>0</v>
      </c>
      <c r="I37" s="512" t="s">
        <v>462</v>
      </c>
      <c r="J37" s="511" t="s">
        <v>462</v>
      </c>
      <c r="K37" s="1008">
        <f>SUMIFS(Титульный!$F$13:$F$157,
Титульный!$A$13:$A$157,'Расходы КФО 5'!$Q37,
Титульный!$B$13:$B$157,'Расходы КФО 5'!$R37,
Титульный!$D$13:$D$157,'Расходы КФО 5'!$S37)</f>
        <v>0</v>
      </c>
      <c r="L37" s="1009">
        <f>SUMIFS(Титульный!$F$13:$F$157,
Титульный!$A$13:$A$157,'Расходы КФО 5'!$Q37,
Титульный!$B$13:$B$157,'Расходы КФО 5'!$R37,
Титульный!$D$13:$D$157,'Расходы КФО 5'!$S37)</f>
        <v>0</v>
      </c>
      <c r="M37" s="512" t="s">
        <v>462</v>
      </c>
      <c r="N37" s="511" t="s">
        <v>462</v>
      </c>
      <c r="O37" s="1008">
        <f>SUMIFS(Титульный!$G$13:$G$157,
Титульный!$A$13:$A$157,'Расходы КФО 5'!$Q37,
Титульный!$B$13:$B$157,'Расходы КФО 5'!$R37,
Титульный!$D$13:$D$157,'Расходы КФО 5'!$S37)</f>
        <v>0</v>
      </c>
      <c r="P37" s="1009">
        <f>SUMIFS(Титульный!$G$13:$G$157,
Титульный!$A$13:$A$157,'Расходы КФО 5'!$Q37,
Титульный!$B$13:$B$157,'Расходы КФО 5'!$R37,
Титульный!$D$13:$D$157,'Расходы КФО 5'!$S37)</f>
        <v>0</v>
      </c>
      <c r="Q37" s="523">
        <v>5</v>
      </c>
      <c r="R37" s="523">
        <v>244</v>
      </c>
      <c r="S37" s="523">
        <v>223</v>
      </c>
      <c r="T37" s="523"/>
    </row>
    <row r="38" spans="1:20" s="374" customFormat="1" ht="12" customHeight="1" x14ac:dyDescent="0.2">
      <c r="B38" s="506"/>
      <c r="Q38" s="531"/>
      <c r="R38" s="531"/>
      <c r="S38" s="531"/>
      <c r="T38" s="376"/>
    </row>
    <row r="39" spans="1:20" s="374" customFormat="1" ht="12" customHeight="1" x14ac:dyDescent="0.2">
      <c r="B39" s="506"/>
      <c r="Q39" s="531"/>
      <c r="R39" s="531"/>
      <c r="S39" s="531"/>
      <c r="T39" s="376"/>
    </row>
    <row r="40" spans="1:20" s="374" customFormat="1" ht="12" customHeight="1" x14ac:dyDescent="0.2">
      <c r="B40" s="506"/>
      <c r="Q40" s="531"/>
      <c r="R40" s="531"/>
      <c r="S40" s="531"/>
      <c r="T40" s="376"/>
    </row>
    <row r="41" spans="1:20" s="449" customFormat="1" ht="27.75" customHeight="1" x14ac:dyDescent="0.2">
      <c r="A41" s="989" t="s">
        <v>631</v>
      </c>
      <c r="B41" s="989"/>
      <c r="C41" s="989"/>
      <c r="D41" s="989"/>
      <c r="E41" s="989"/>
      <c r="F41" s="989"/>
      <c r="G41" s="989"/>
      <c r="H41" s="989"/>
      <c r="I41" s="989"/>
      <c r="J41" s="989"/>
      <c r="K41" s="989"/>
      <c r="L41" s="989"/>
      <c r="M41" s="989"/>
      <c r="N41" s="989"/>
      <c r="O41" s="989"/>
      <c r="P41" s="989"/>
      <c r="Q41" s="523"/>
      <c r="R41" s="523"/>
      <c r="S41" s="523"/>
      <c r="T41" s="448"/>
    </row>
    <row r="42" spans="1:20" s="374" customFormat="1" ht="12" customHeight="1" x14ac:dyDescent="0.2">
      <c r="B42" s="506"/>
      <c r="Q42" s="531"/>
      <c r="R42" s="531"/>
      <c r="S42" s="531"/>
      <c r="T42" s="376"/>
    </row>
    <row r="43" spans="1:20" s="374" customFormat="1" ht="33" customHeight="1" x14ac:dyDescent="0.2">
      <c r="A43" s="1034" t="s">
        <v>598</v>
      </c>
      <c r="B43" s="1000" t="s">
        <v>484</v>
      </c>
      <c r="C43" s="1208" t="s">
        <v>610</v>
      </c>
      <c r="D43" s="1037"/>
      <c r="E43" s="1176" t="s">
        <v>831</v>
      </c>
      <c r="F43" s="1177"/>
      <c r="G43" s="1177"/>
      <c r="H43" s="1178"/>
      <c r="I43" s="1179" t="s">
        <v>825</v>
      </c>
      <c r="J43" s="1180"/>
      <c r="K43" s="1180"/>
      <c r="L43" s="1181"/>
      <c r="M43" s="1190" t="s">
        <v>823</v>
      </c>
      <c r="N43" s="1180"/>
      <c r="O43" s="1180"/>
      <c r="P43" s="1181"/>
      <c r="Q43" s="531"/>
      <c r="R43" s="531"/>
      <c r="S43" s="531"/>
      <c r="T43" s="376"/>
    </row>
    <row r="44" spans="1:20" s="374" customFormat="1" ht="51" x14ac:dyDescent="0.2">
      <c r="A44" s="1035"/>
      <c r="B44" s="1036"/>
      <c r="C44" s="1245"/>
      <c r="D44" s="1254"/>
      <c r="E44" s="411" t="s">
        <v>632</v>
      </c>
      <c r="F44" s="413" t="s">
        <v>633</v>
      </c>
      <c r="G44" s="1263" t="s">
        <v>553</v>
      </c>
      <c r="H44" s="1264"/>
      <c r="I44" s="411" t="s">
        <v>632</v>
      </c>
      <c r="J44" s="413" t="s">
        <v>633</v>
      </c>
      <c r="K44" s="1263" t="s">
        <v>553</v>
      </c>
      <c r="L44" s="1264"/>
      <c r="M44" s="414" t="s">
        <v>632</v>
      </c>
      <c r="N44" s="413" t="s">
        <v>633</v>
      </c>
      <c r="O44" s="1263" t="s">
        <v>553</v>
      </c>
      <c r="P44" s="1264"/>
      <c r="Q44" s="531"/>
      <c r="R44" s="531"/>
      <c r="S44" s="531"/>
      <c r="T44" s="376"/>
    </row>
    <row r="45" spans="1:20" s="374" customFormat="1" x14ac:dyDescent="0.2">
      <c r="A45" s="417" t="s">
        <v>6</v>
      </c>
      <c r="B45" s="714" t="s">
        <v>7</v>
      </c>
      <c r="C45" s="1247" t="s">
        <v>8</v>
      </c>
      <c r="D45" s="1248"/>
      <c r="E45" s="417">
        <v>4</v>
      </c>
      <c r="F45" s="408">
        <v>5</v>
      </c>
      <c r="G45" s="1004" t="s">
        <v>784</v>
      </c>
      <c r="H45" s="1005"/>
      <c r="I45" s="417">
        <v>7</v>
      </c>
      <c r="J45" s="408">
        <v>8</v>
      </c>
      <c r="K45" s="1004" t="s">
        <v>785</v>
      </c>
      <c r="L45" s="1005"/>
      <c r="M45" s="417" t="s">
        <v>463</v>
      </c>
      <c r="N45" s="408" t="s">
        <v>468</v>
      </c>
      <c r="O45" s="1004" t="s">
        <v>556</v>
      </c>
      <c r="P45" s="1005"/>
      <c r="Q45" s="531"/>
      <c r="R45" s="531"/>
      <c r="S45" s="531"/>
      <c r="T45" s="376"/>
    </row>
    <row r="46" spans="1:20" s="334" customFormat="1" ht="27.75" customHeight="1" x14ac:dyDescent="0.2">
      <c r="A46" s="486">
        <v>244</v>
      </c>
      <c r="B46" s="491" t="s">
        <v>6</v>
      </c>
      <c r="C46" s="1167" t="s">
        <v>264</v>
      </c>
      <c r="D46" s="1255"/>
      <c r="E46" s="680"/>
      <c r="F46" s="655"/>
      <c r="G46" s="1069">
        <f>Титульный!E24</f>
        <v>0</v>
      </c>
      <c r="H46" s="1071"/>
      <c r="I46" s="680"/>
      <c r="J46" s="655"/>
      <c r="K46" s="1069">
        <f>Титульный!F24</f>
        <v>0</v>
      </c>
      <c r="L46" s="1071"/>
      <c r="M46" s="654"/>
      <c r="N46" s="655"/>
      <c r="O46" s="1069">
        <f>Титульный!G24</f>
        <v>0</v>
      </c>
      <c r="P46" s="1071"/>
      <c r="Q46" s="523"/>
      <c r="R46" s="523"/>
      <c r="S46" s="523"/>
      <c r="T46" s="379"/>
    </row>
    <row r="47" spans="1:20" s="334" customFormat="1" ht="27.75" customHeight="1" x14ac:dyDescent="0.2">
      <c r="A47" s="452">
        <v>244</v>
      </c>
      <c r="B47" s="450" t="s">
        <v>7</v>
      </c>
      <c r="C47" s="1186" t="s">
        <v>265</v>
      </c>
      <c r="D47" s="1256"/>
      <c r="E47" s="604"/>
      <c r="F47" s="580"/>
      <c r="G47" s="1002">
        <f>Титульный!E25</f>
        <v>0</v>
      </c>
      <c r="H47" s="1003"/>
      <c r="I47" s="604"/>
      <c r="J47" s="580"/>
      <c r="K47" s="1002">
        <f>Титульный!F25</f>
        <v>0</v>
      </c>
      <c r="L47" s="1003"/>
      <c r="M47" s="605"/>
      <c r="N47" s="580"/>
      <c r="O47" s="1002">
        <f>Титульный!G25</f>
        <v>0</v>
      </c>
      <c r="P47" s="1003"/>
      <c r="Q47" s="523"/>
      <c r="R47" s="523"/>
      <c r="S47" s="523"/>
      <c r="T47" s="379"/>
    </row>
    <row r="48" spans="1:20" s="334" customFormat="1" ht="27.75" customHeight="1" x14ac:dyDescent="0.2">
      <c r="A48" s="493">
        <v>244</v>
      </c>
      <c r="B48" s="502" t="s">
        <v>8</v>
      </c>
      <c r="C48" s="1257" t="s">
        <v>683</v>
      </c>
      <c r="D48" s="1154"/>
      <c r="E48" s="606"/>
      <c r="F48" s="586"/>
      <c r="G48" s="1006">
        <f>G49-SUM(G46:H47)</f>
        <v>0</v>
      </c>
      <c r="H48" s="1007"/>
      <c r="I48" s="606"/>
      <c r="J48" s="586"/>
      <c r="K48" s="1006">
        <f>K49-SUM(K46:L47)</f>
        <v>0</v>
      </c>
      <c r="L48" s="1007"/>
      <c r="M48" s="607"/>
      <c r="N48" s="586"/>
      <c r="O48" s="1006">
        <f>O49-SUM(O46:P47)</f>
        <v>0</v>
      </c>
      <c r="P48" s="1007"/>
      <c r="Q48" s="523"/>
      <c r="R48" s="523"/>
      <c r="S48" s="523"/>
      <c r="T48" s="379"/>
    </row>
    <row r="49" spans="1:22" s="524" customFormat="1" ht="27.75" customHeight="1" x14ac:dyDescent="0.2">
      <c r="A49" s="517"/>
      <c r="B49" s="518"/>
      <c r="C49" s="1249" t="s">
        <v>611</v>
      </c>
      <c r="D49" s="1250"/>
      <c r="E49" s="519" t="s">
        <v>462</v>
      </c>
      <c r="F49" s="520" t="s">
        <v>462</v>
      </c>
      <c r="G49" s="1043">
        <f>SUMIFS(Титульный!$E$13:$E$157,Титульный!$A$13:$A$157,'Расходы КФО 5'!$Q49,Титульный!$B$13:$B$157,'Расходы КФО 5'!$R49,Титульный!$D$13:$D$157,'Расходы КФО 5'!$S49)</f>
        <v>0</v>
      </c>
      <c r="H49" s="1044">
        <f>SUMIFS(Титульный!$E$13:$E$157,Титульный!$A$13:$A$157,'Расходы КФО 5'!$Q49,Титульный!$B$13:$B$157,'Расходы КФО 5'!$R49,Титульный!$D$13:$D$157,'Расходы КФО 5'!$S49)</f>
        <v>0</v>
      </c>
      <c r="I49" s="519" t="s">
        <v>462</v>
      </c>
      <c r="J49" s="520" t="s">
        <v>462</v>
      </c>
      <c r="K49" s="1043">
        <f>SUMIFS(Титульный!$F$13:$F$157,
Титульный!$A$13:$A$157,'Расходы КФО 5'!$Q49,
Титульный!$B$13:$B$157,'Расходы КФО 5'!$R49,
Титульный!$D$13:$D$157,'Расходы КФО 5'!$S49)</f>
        <v>0</v>
      </c>
      <c r="L49" s="1044">
        <f>SUMIFS(Титульный!$F$13:$F$157,
Титульный!$A$13:$A$157,'Расходы КФО 5'!$Q49,
Титульный!$B$13:$B$157,'Расходы КФО 5'!$R49,
Титульный!$D$13:$D$157,'Расходы КФО 5'!$S49)</f>
        <v>0</v>
      </c>
      <c r="M49" s="521" t="s">
        <v>462</v>
      </c>
      <c r="N49" s="520" t="s">
        <v>462</v>
      </c>
      <c r="O49" s="1043">
        <f>SUMIFS(Титульный!$G$13:$G$157,
Титульный!$A$13:$A$157,'Расходы КФО 5'!$Q49,
Титульный!$B$13:$B$157,'Расходы КФО 5'!$R49,
Титульный!$D$13:$D$157,'Расходы КФО 5'!$S49)</f>
        <v>0</v>
      </c>
      <c r="P49" s="1044">
        <f>SUMIFS(Титульный!$G$13:$G$157,
Титульный!$A$13:$A$157,'Расходы КФО 5'!$Q49,
Титульный!$B$13:$B$157,'Расходы КФО 5'!$R49,
Титульный!$D$13:$D$157,'Расходы КФО 5'!$S49)</f>
        <v>0</v>
      </c>
      <c r="Q49" s="523">
        <v>5</v>
      </c>
      <c r="R49" s="523">
        <v>244</v>
      </c>
      <c r="S49" s="523">
        <v>224</v>
      </c>
      <c r="T49" s="523"/>
    </row>
    <row r="50" spans="1:22" s="374" customFormat="1" ht="12" customHeight="1" x14ac:dyDescent="0.2">
      <c r="B50" s="506"/>
      <c r="Q50" s="531"/>
      <c r="R50" s="531"/>
      <c r="S50" s="531"/>
      <c r="T50" s="376"/>
    </row>
    <row r="51" spans="1:22" s="374" customFormat="1" ht="12" customHeight="1" x14ac:dyDescent="0.2">
      <c r="B51" s="506"/>
      <c r="Q51" s="531"/>
      <c r="R51" s="531"/>
      <c r="S51" s="531"/>
      <c r="T51" s="376"/>
    </row>
    <row r="52" spans="1:22" s="374" customFormat="1" ht="12" customHeight="1" x14ac:dyDescent="0.2">
      <c r="B52" s="506"/>
      <c r="Q52" s="531"/>
      <c r="R52" s="531"/>
      <c r="S52" s="531"/>
      <c r="T52" s="376"/>
    </row>
    <row r="53" spans="1:22" s="449" customFormat="1" ht="27.75" customHeight="1" x14ac:dyDescent="0.2">
      <c r="A53" s="989" t="s">
        <v>634</v>
      </c>
      <c r="B53" s="989"/>
      <c r="C53" s="989"/>
      <c r="D53" s="989"/>
      <c r="E53" s="989"/>
      <c r="F53" s="989"/>
      <c r="G53" s="989"/>
      <c r="H53" s="989"/>
      <c r="I53" s="989"/>
      <c r="J53" s="989"/>
      <c r="K53" s="989"/>
      <c r="L53" s="989"/>
      <c r="M53" s="989"/>
      <c r="N53" s="989"/>
      <c r="O53" s="989"/>
      <c r="P53" s="989"/>
      <c r="Q53" s="523"/>
      <c r="R53" s="523"/>
      <c r="S53" s="523"/>
      <c r="T53" s="448"/>
    </row>
    <row r="54" spans="1:22" s="374" customFormat="1" ht="12" customHeight="1" x14ac:dyDescent="0.2">
      <c r="B54" s="506"/>
      <c r="Q54" s="531"/>
      <c r="R54" s="531"/>
      <c r="S54" s="531"/>
      <c r="T54" s="376"/>
    </row>
    <row r="55" spans="1:22" s="374" customFormat="1" ht="33" customHeight="1" x14ac:dyDescent="0.2">
      <c r="A55" s="1034" t="s">
        <v>598</v>
      </c>
      <c r="B55" s="1000" t="s">
        <v>484</v>
      </c>
      <c r="C55" s="1208" t="s">
        <v>610</v>
      </c>
      <c r="D55" s="1064"/>
      <c r="E55" s="1176" t="s">
        <v>831</v>
      </c>
      <c r="F55" s="1177"/>
      <c r="G55" s="1177"/>
      <c r="H55" s="1178"/>
      <c r="I55" s="1179" t="s">
        <v>825</v>
      </c>
      <c r="J55" s="1180"/>
      <c r="K55" s="1180"/>
      <c r="L55" s="1181"/>
      <c r="M55" s="1190" t="s">
        <v>823</v>
      </c>
      <c r="N55" s="1180"/>
      <c r="O55" s="1180"/>
      <c r="P55" s="1181"/>
      <c r="Q55" s="531"/>
      <c r="R55" s="531"/>
      <c r="S55" s="531"/>
      <c r="T55" s="376"/>
    </row>
    <row r="56" spans="1:22" s="374" customFormat="1" ht="38.25" x14ac:dyDescent="0.2">
      <c r="A56" s="1035"/>
      <c r="B56" s="1036"/>
      <c r="C56" s="1245"/>
      <c r="D56" s="1246"/>
      <c r="E56" s="399" t="s">
        <v>635</v>
      </c>
      <c r="F56" s="401" t="s">
        <v>636</v>
      </c>
      <c r="G56" s="1203" t="s">
        <v>553</v>
      </c>
      <c r="H56" s="1204"/>
      <c r="I56" s="399" t="s">
        <v>635</v>
      </c>
      <c r="J56" s="401" t="s">
        <v>636</v>
      </c>
      <c r="K56" s="1203" t="s">
        <v>553</v>
      </c>
      <c r="L56" s="1204"/>
      <c r="M56" s="399" t="s">
        <v>635</v>
      </c>
      <c r="N56" s="401" t="s">
        <v>636</v>
      </c>
      <c r="O56" s="1203" t="s">
        <v>553</v>
      </c>
      <c r="P56" s="1204"/>
      <c r="Q56" s="531"/>
      <c r="R56" s="531"/>
      <c r="S56" s="531"/>
      <c r="T56" s="376"/>
      <c r="V56" s="332"/>
    </row>
    <row r="57" spans="1:22" s="374" customFormat="1" x14ac:dyDescent="0.2">
      <c r="A57" s="383" t="s">
        <v>6</v>
      </c>
      <c r="B57" s="732" t="s">
        <v>7</v>
      </c>
      <c r="C57" s="1247" t="s">
        <v>8</v>
      </c>
      <c r="D57" s="1248"/>
      <c r="E57" s="417">
        <v>4</v>
      </c>
      <c r="F57" s="408">
        <v>5</v>
      </c>
      <c r="G57" s="1004" t="s">
        <v>784</v>
      </c>
      <c r="H57" s="1005"/>
      <c r="I57" s="417">
        <v>7</v>
      </c>
      <c r="J57" s="408">
        <v>8</v>
      </c>
      <c r="K57" s="1004" t="s">
        <v>785</v>
      </c>
      <c r="L57" s="1005"/>
      <c r="M57" s="417" t="s">
        <v>463</v>
      </c>
      <c r="N57" s="408" t="s">
        <v>468</v>
      </c>
      <c r="O57" s="1004" t="s">
        <v>556</v>
      </c>
      <c r="P57" s="1005"/>
      <c r="Q57" s="531"/>
      <c r="R57" s="531"/>
      <c r="S57" s="531"/>
      <c r="T57" s="376"/>
    </row>
    <row r="58" spans="1:22" s="334" customFormat="1" ht="27.75" customHeight="1" x14ac:dyDescent="0.2">
      <c r="A58" s="475">
        <v>244</v>
      </c>
      <c r="B58" s="476">
        <v>1</v>
      </c>
      <c r="C58" s="1184" t="s">
        <v>687</v>
      </c>
      <c r="D58" s="1251"/>
      <c r="E58" s="465"/>
      <c r="F58" s="580"/>
      <c r="G58" s="1002">
        <f>E58*F58</f>
        <v>0</v>
      </c>
      <c r="H58" s="1003"/>
      <c r="I58" s="465"/>
      <c r="J58" s="580"/>
      <c r="K58" s="1002">
        <f>I58*J58</f>
        <v>0</v>
      </c>
      <c r="L58" s="1003"/>
      <c r="M58" s="465"/>
      <c r="N58" s="580"/>
      <c r="O58" s="1002">
        <f>M58*N58</f>
        <v>0</v>
      </c>
      <c r="P58" s="1003"/>
      <c r="Q58" s="523"/>
      <c r="R58" s="523"/>
      <c r="S58" s="523"/>
      <c r="T58" s="379"/>
    </row>
    <row r="59" spans="1:22" s="334" customFormat="1" ht="27.75" customHeight="1" x14ac:dyDescent="0.2">
      <c r="A59" s="452">
        <v>244</v>
      </c>
      <c r="B59" s="451">
        <v>2</v>
      </c>
      <c r="C59" s="1186" t="s">
        <v>688</v>
      </c>
      <c r="D59" s="1244"/>
      <c r="E59" s="465"/>
      <c r="F59" s="580"/>
      <c r="G59" s="1238">
        <f t="shared" ref="G59:G96" si="6">E59*F59</f>
        <v>0</v>
      </c>
      <c r="H59" s="1239"/>
      <c r="I59" s="465"/>
      <c r="J59" s="580"/>
      <c r="K59" s="1238">
        <f t="shared" ref="K59:K96" si="7">I59*J59</f>
        <v>0</v>
      </c>
      <c r="L59" s="1239"/>
      <c r="M59" s="465"/>
      <c r="N59" s="580"/>
      <c r="O59" s="1238">
        <f t="shared" ref="O59:O96" si="8">M59*N59</f>
        <v>0</v>
      </c>
      <c r="P59" s="1239"/>
      <c r="Q59" s="523"/>
      <c r="R59" s="523"/>
      <c r="S59" s="523"/>
      <c r="T59" s="379"/>
    </row>
    <row r="60" spans="1:22" s="334" customFormat="1" ht="27.75" customHeight="1" x14ac:dyDescent="0.2">
      <c r="A60" s="452">
        <v>244</v>
      </c>
      <c r="B60" s="451">
        <v>3</v>
      </c>
      <c r="C60" s="1186" t="s">
        <v>689</v>
      </c>
      <c r="D60" s="1244"/>
      <c r="E60" s="465"/>
      <c r="F60" s="580"/>
      <c r="G60" s="1238">
        <f t="shared" si="6"/>
        <v>0</v>
      </c>
      <c r="H60" s="1239"/>
      <c r="I60" s="465"/>
      <c r="J60" s="580"/>
      <c r="K60" s="1238">
        <f t="shared" si="7"/>
        <v>0</v>
      </c>
      <c r="L60" s="1239"/>
      <c r="M60" s="465"/>
      <c r="N60" s="580"/>
      <c r="O60" s="1238">
        <f t="shared" si="8"/>
        <v>0</v>
      </c>
      <c r="P60" s="1239"/>
      <c r="Q60" s="523"/>
      <c r="R60" s="523"/>
      <c r="S60" s="523"/>
      <c r="T60" s="379"/>
    </row>
    <row r="61" spans="1:22" s="334" customFormat="1" ht="27.75" customHeight="1" x14ac:dyDescent="0.2">
      <c r="A61" s="452">
        <v>244</v>
      </c>
      <c r="B61" s="451">
        <v>4</v>
      </c>
      <c r="C61" s="1186" t="s">
        <v>690</v>
      </c>
      <c r="D61" s="1244"/>
      <c r="E61" s="465"/>
      <c r="F61" s="580"/>
      <c r="G61" s="1238">
        <f t="shared" si="6"/>
        <v>0</v>
      </c>
      <c r="H61" s="1239"/>
      <c r="I61" s="465"/>
      <c r="J61" s="580"/>
      <c r="K61" s="1238">
        <f t="shared" si="7"/>
        <v>0</v>
      </c>
      <c r="L61" s="1239"/>
      <c r="M61" s="465"/>
      <c r="N61" s="580"/>
      <c r="O61" s="1238">
        <f t="shared" si="8"/>
        <v>0</v>
      </c>
      <c r="P61" s="1239"/>
      <c r="Q61" s="523"/>
      <c r="R61" s="523"/>
      <c r="S61" s="523"/>
      <c r="T61" s="379"/>
    </row>
    <row r="62" spans="1:22" s="334" customFormat="1" ht="27.75" customHeight="1" x14ac:dyDescent="0.2">
      <c r="A62" s="452">
        <v>244</v>
      </c>
      <c r="B62" s="451">
        <v>5</v>
      </c>
      <c r="C62" s="1186" t="s">
        <v>691</v>
      </c>
      <c r="D62" s="1244"/>
      <c r="E62" s="465"/>
      <c r="F62" s="580"/>
      <c r="G62" s="1238">
        <f t="shared" si="6"/>
        <v>0</v>
      </c>
      <c r="H62" s="1239"/>
      <c r="I62" s="465"/>
      <c r="J62" s="580"/>
      <c r="K62" s="1238">
        <f t="shared" si="7"/>
        <v>0</v>
      </c>
      <c r="L62" s="1239"/>
      <c r="M62" s="465"/>
      <c r="N62" s="580"/>
      <c r="O62" s="1238">
        <f t="shared" si="8"/>
        <v>0</v>
      </c>
      <c r="P62" s="1239"/>
      <c r="Q62" s="523"/>
      <c r="R62" s="523"/>
      <c r="S62" s="523"/>
      <c r="T62" s="379"/>
    </row>
    <row r="63" spans="1:22" s="334" customFormat="1" ht="27.75" customHeight="1" x14ac:dyDescent="0.2">
      <c r="A63" s="452">
        <v>244</v>
      </c>
      <c r="B63" s="451">
        <v>6</v>
      </c>
      <c r="C63" s="1186" t="s">
        <v>692</v>
      </c>
      <c r="D63" s="1244"/>
      <c r="E63" s="465"/>
      <c r="F63" s="580"/>
      <c r="G63" s="1238">
        <f t="shared" si="6"/>
        <v>0</v>
      </c>
      <c r="H63" s="1239"/>
      <c r="I63" s="465"/>
      <c r="J63" s="580"/>
      <c r="K63" s="1238">
        <f t="shared" si="7"/>
        <v>0</v>
      </c>
      <c r="L63" s="1239"/>
      <c r="M63" s="465"/>
      <c r="N63" s="580"/>
      <c r="O63" s="1238">
        <f t="shared" si="8"/>
        <v>0</v>
      </c>
      <c r="P63" s="1239"/>
      <c r="Q63" s="523"/>
      <c r="R63" s="523"/>
      <c r="S63" s="523"/>
      <c r="T63" s="379"/>
    </row>
    <row r="64" spans="1:22" s="334" customFormat="1" ht="27.75" customHeight="1" x14ac:dyDescent="0.2">
      <c r="A64" s="452">
        <v>244</v>
      </c>
      <c r="B64" s="451">
        <v>7</v>
      </c>
      <c r="C64" s="1186" t="s">
        <v>693</v>
      </c>
      <c r="D64" s="1244"/>
      <c r="E64" s="465"/>
      <c r="F64" s="580"/>
      <c r="G64" s="1238">
        <f t="shared" si="6"/>
        <v>0</v>
      </c>
      <c r="H64" s="1239"/>
      <c r="I64" s="465"/>
      <c r="J64" s="580"/>
      <c r="K64" s="1238">
        <f t="shared" si="7"/>
        <v>0</v>
      </c>
      <c r="L64" s="1239"/>
      <c r="M64" s="465"/>
      <c r="N64" s="580"/>
      <c r="O64" s="1238">
        <f t="shared" si="8"/>
        <v>0</v>
      </c>
      <c r="P64" s="1239"/>
      <c r="Q64" s="523"/>
      <c r="R64" s="523"/>
      <c r="S64" s="523"/>
      <c r="T64" s="379"/>
    </row>
    <row r="65" spans="1:20" s="334" customFormat="1" ht="27.75" customHeight="1" x14ac:dyDescent="0.2">
      <c r="A65" s="452">
        <v>244</v>
      </c>
      <c r="B65" s="451">
        <v>8</v>
      </c>
      <c r="C65" s="1186" t="s">
        <v>694</v>
      </c>
      <c r="D65" s="1244"/>
      <c r="E65" s="465"/>
      <c r="F65" s="580"/>
      <c r="G65" s="1238">
        <f t="shared" si="6"/>
        <v>0</v>
      </c>
      <c r="H65" s="1239"/>
      <c r="I65" s="465"/>
      <c r="J65" s="580"/>
      <c r="K65" s="1238">
        <f t="shared" si="7"/>
        <v>0</v>
      </c>
      <c r="L65" s="1239"/>
      <c r="M65" s="465"/>
      <c r="N65" s="580"/>
      <c r="O65" s="1238">
        <f t="shared" si="8"/>
        <v>0</v>
      </c>
      <c r="P65" s="1239"/>
      <c r="Q65" s="523"/>
      <c r="R65" s="523"/>
      <c r="S65" s="523"/>
      <c r="T65" s="379"/>
    </row>
    <row r="66" spans="1:20" s="334" customFormat="1" ht="27.75" customHeight="1" x14ac:dyDescent="0.2">
      <c r="A66" s="452">
        <v>244</v>
      </c>
      <c r="B66" s="451">
        <v>9</v>
      </c>
      <c r="C66" s="1186" t="s">
        <v>695</v>
      </c>
      <c r="D66" s="1244"/>
      <c r="E66" s="465"/>
      <c r="F66" s="580"/>
      <c r="G66" s="1238">
        <f t="shared" si="6"/>
        <v>0</v>
      </c>
      <c r="H66" s="1239"/>
      <c r="I66" s="465"/>
      <c r="J66" s="580"/>
      <c r="K66" s="1238">
        <f t="shared" si="7"/>
        <v>0</v>
      </c>
      <c r="L66" s="1239"/>
      <c r="M66" s="465"/>
      <c r="N66" s="580"/>
      <c r="O66" s="1238">
        <f t="shared" si="8"/>
        <v>0</v>
      </c>
      <c r="P66" s="1239"/>
      <c r="Q66" s="523"/>
      <c r="R66" s="523"/>
      <c r="S66" s="523"/>
      <c r="T66" s="379"/>
    </row>
    <row r="67" spans="1:20" s="334" customFormat="1" ht="27.75" customHeight="1" x14ac:dyDescent="0.2">
      <c r="A67" s="452">
        <v>244</v>
      </c>
      <c r="B67" s="451">
        <v>10</v>
      </c>
      <c r="C67" s="1186" t="s">
        <v>696</v>
      </c>
      <c r="D67" s="1244"/>
      <c r="E67" s="465"/>
      <c r="F67" s="580"/>
      <c r="G67" s="1238">
        <f t="shared" si="6"/>
        <v>0</v>
      </c>
      <c r="H67" s="1239"/>
      <c r="I67" s="465"/>
      <c r="J67" s="580"/>
      <c r="K67" s="1238">
        <f t="shared" si="7"/>
        <v>0</v>
      </c>
      <c r="L67" s="1239"/>
      <c r="M67" s="465"/>
      <c r="N67" s="580"/>
      <c r="O67" s="1238">
        <f t="shared" si="8"/>
        <v>0</v>
      </c>
      <c r="P67" s="1239"/>
      <c r="Q67" s="523"/>
      <c r="R67" s="523"/>
      <c r="S67" s="523"/>
      <c r="T67" s="379"/>
    </row>
    <row r="68" spans="1:20" s="334" customFormat="1" ht="27.75" customHeight="1" x14ac:dyDescent="0.2">
      <c r="A68" s="452">
        <v>244</v>
      </c>
      <c r="B68" s="451">
        <v>11</v>
      </c>
      <c r="C68" s="1186" t="s">
        <v>697</v>
      </c>
      <c r="D68" s="1244"/>
      <c r="E68" s="465"/>
      <c r="F68" s="580"/>
      <c r="G68" s="1238">
        <f t="shared" si="6"/>
        <v>0</v>
      </c>
      <c r="H68" s="1239"/>
      <c r="I68" s="465"/>
      <c r="J68" s="580"/>
      <c r="K68" s="1238">
        <f t="shared" si="7"/>
        <v>0</v>
      </c>
      <c r="L68" s="1239"/>
      <c r="M68" s="465"/>
      <c r="N68" s="580"/>
      <c r="O68" s="1238">
        <f t="shared" si="8"/>
        <v>0</v>
      </c>
      <c r="P68" s="1239"/>
      <c r="Q68" s="523"/>
      <c r="R68" s="523"/>
      <c r="S68" s="523"/>
      <c r="T68" s="379"/>
    </row>
    <row r="69" spans="1:20" s="334" customFormat="1" ht="27.75" customHeight="1" x14ac:dyDescent="0.2">
      <c r="A69" s="452">
        <v>244</v>
      </c>
      <c r="B69" s="451">
        <v>12</v>
      </c>
      <c r="C69" s="1186" t="s">
        <v>698</v>
      </c>
      <c r="D69" s="1244"/>
      <c r="E69" s="465"/>
      <c r="F69" s="580"/>
      <c r="G69" s="1238">
        <f t="shared" si="6"/>
        <v>0</v>
      </c>
      <c r="H69" s="1239"/>
      <c r="I69" s="465"/>
      <c r="J69" s="580"/>
      <c r="K69" s="1238">
        <f t="shared" si="7"/>
        <v>0</v>
      </c>
      <c r="L69" s="1239"/>
      <c r="M69" s="465"/>
      <c r="N69" s="580"/>
      <c r="O69" s="1238">
        <f t="shared" si="8"/>
        <v>0</v>
      </c>
      <c r="P69" s="1239"/>
      <c r="Q69" s="523"/>
      <c r="R69" s="523"/>
      <c r="S69" s="523"/>
      <c r="T69" s="379"/>
    </row>
    <row r="70" spans="1:20" s="334" customFormat="1" ht="27.75" customHeight="1" x14ac:dyDescent="0.2">
      <c r="A70" s="452">
        <v>244</v>
      </c>
      <c r="B70" s="451">
        <v>13</v>
      </c>
      <c r="C70" s="1186" t="s">
        <v>699</v>
      </c>
      <c r="D70" s="1244"/>
      <c r="E70" s="465"/>
      <c r="F70" s="580"/>
      <c r="G70" s="1238">
        <f t="shared" si="6"/>
        <v>0</v>
      </c>
      <c r="H70" s="1239"/>
      <c r="I70" s="465"/>
      <c r="J70" s="580"/>
      <c r="K70" s="1238">
        <f t="shared" si="7"/>
        <v>0</v>
      </c>
      <c r="L70" s="1239"/>
      <c r="M70" s="465"/>
      <c r="N70" s="580"/>
      <c r="O70" s="1238">
        <f t="shared" si="8"/>
        <v>0</v>
      </c>
      <c r="P70" s="1239"/>
      <c r="Q70" s="523"/>
      <c r="R70" s="523"/>
      <c r="S70" s="523"/>
      <c r="T70" s="379"/>
    </row>
    <row r="71" spans="1:20" s="334" customFormat="1" ht="27.75" customHeight="1" x14ac:dyDescent="0.2">
      <c r="A71" s="452">
        <v>244</v>
      </c>
      <c r="B71" s="451">
        <v>14</v>
      </c>
      <c r="C71" s="1186" t="s">
        <v>700</v>
      </c>
      <c r="D71" s="1244"/>
      <c r="E71" s="465"/>
      <c r="F71" s="580"/>
      <c r="G71" s="1238">
        <f t="shared" si="6"/>
        <v>0</v>
      </c>
      <c r="H71" s="1239"/>
      <c r="I71" s="465"/>
      <c r="J71" s="580"/>
      <c r="K71" s="1238">
        <f t="shared" si="7"/>
        <v>0</v>
      </c>
      <c r="L71" s="1239"/>
      <c r="M71" s="465"/>
      <c r="N71" s="580"/>
      <c r="O71" s="1238">
        <f t="shared" si="8"/>
        <v>0</v>
      </c>
      <c r="P71" s="1239"/>
      <c r="Q71" s="523"/>
      <c r="R71" s="523"/>
      <c r="S71" s="523"/>
      <c r="T71" s="379"/>
    </row>
    <row r="72" spans="1:20" s="334" customFormat="1" ht="27.75" customHeight="1" x14ac:dyDescent="0.2">
      <c r="A72" s="452">
        <v>244</v>
      </c>
      <c r="B72" s="451">
        <v>15</v>
      </c>
      <c r="C72" s="1186" t="s">
        <v>701</v>
      </c>
      <c r="D72" s="1244"/>
      <c r="E72" s="465"/>
      <c r="F72" s="580"/>
      <c r="G72" s="1238">
        <f t="shared" si="6"/>
        <v>0</v>
      </c>
      <c r="H72" s="1239"/>
      <c r="I72" s="465"/>
      <c r="J72" s="580"/>
      <c r="K72" s="1238">
        <f t="shared" si="7"/>
        <v>0</v>
      </c>
      <c r="L72" s="1239"/>
      <c r="M72" s="465"/>
      <c r="N72" s="580"/>
      <c r="O72" s="1238">
        <f t="shared" si="8"/>
        <v>0</v>
      </c>
      <c r="P72" s="1239"/>
      <c r="Q72" s="523"/>
      <c r="R72" s="523"/>
      <c r="S72" s="523"/>
      <c r="T72" s="379"/>
    </row>
    <row r="73" spans="1:20" s="334" customFormat="1" ht="27.75" customHeight="1" x14ac:dyDescent="0.2">
      <c r="A73" s="452">
        <v>244</v>
      </c>
      <c r="B73" s="451">
        <v>16</v>
      </c>
      <c r="C73" s="1186" t="s">
        <v>702</v>
      </c>
      <c r="D73" s="1244"/>
      <c r="E73" s="465"/>
      <c r="F73" s="580"/>
      <c r="G73" s="1238">
        <f t="shared" si="6"/>
        <v>0</v>
      </c>
      <c r="H73" s="1239"/>
      <c r="I73" s="465"/>
      <c r="J73" s="580"/>
      <c r="K73" s="1238">
        <f t="shared" si="7"/>
        <v>0</v>
      </c>
      <c r="L73" s="1239"/>
      <c r="M73" s="465"/>
      <c r="N73" s="580"/>
      <c r="O73" s="1238">
        <f t="shared" si="8"/>
        <v>0</v>
      </c>
      <c r="P73" s="1239"/>
      <c r="Q73" s="523"/>
      <c r="R73" s="523"/>
      <c r="S73" s="523"/>
      <c r="T73" s="379"/>
    </row>
    <row r="74" spans="1:20" s="334" customFormat="1" ht="27.75" customHeight="1" x14ac:dyDescent="0.2">
      <c r="A74" s="452">
        <v>244</v>
      </c>
      <c r="B74" s="451">
        <v>17</v>
      </c>
      <c r="C74" s="1186" t="s">
        <v>703</v>
      </c>
      <c r="D74" s="1244"/>
      <c r="E74" s="465"/>
      <c r="F74" s="580"/>
      <c r="G74" s="1238">
        <f t="shared" si="6"/>
        <v>0</v>
      </c>
      <c r="H74" s="1239"/>
      <c r="I74" s="465"/>
      <c r="J74" s="580"/>
      <c r="K74" s="1238">
        <f t="shared" si="7"/>
        <v>0</v>
      </c>
      <c r="L74" s="1239"/>
      <c r="M74" s="465"/>
      <c r="N74" s="580"/>
      <c r="O74" s="1238">
        <f t="shared" si="8"/>
        <v>0</v>
      </c>
      <c r="P74" s="1239"/>
      <c r="Q74" s="523"/>
      <c r="R74" s="523"/>
      <c r="S74" s="523"/>
      <c r="T74" s="379"/>
    </row>
    <row r="75" spans="1:20" s="334" customFormat="1" ht="27.75" customHeight="1" x14ac:dyDescent="0.2">
      <c r="A75" s="452">
        <v>244</v>
      </c>
      <c r="B75" s="451">
        <v>18</v>
      </c>
      <c r="C75" s="1186" t="s">
        <v>704</v>
      </c>
      <c r="D75" s="1244"/>
      <c r="E75" s="465"/>
      <c r="F75" s="580"/>
      <c r="G75" s="1238">
        <f t="shared" si="6"/>
        <v>0</v>
      </c>
      <c r="H75" s="1239"/>
      <c r="I75" s="465"/>
      <c r="J75" s="580"/>
      <c r="K75" s="1238">
        <f t="shared" si="7"/>
        <v>0</v>
      </c>
      <c r="L75" s="1239"/>
      <c r="M75" s="465"/>
      <c r="N75" s="580"/>
      <c r="O75" s="1238">
        <f t="shared" si="8"/>
        <v>0</v>
      </c>
      <c r="P75" s="1239"/>
      <c r="Q75" s="523"/>
      <c r="R75" s="523"/>
      <c r="S75" s="523"/>
      <c r="T75" s="379"/>
    </row>
    <row r="76" spans="1:20" s="334" customFormat="1" ht="27.75" customHeight="1" x14ac:dyDescent="0.2">
      <c r="A76" s="452">
        <v>244</v>
      </c>
      <c r="B76" s="451">
        <v>19</v>
      </c>
      <c r="C76" s="1186" t="s">
        <v>705</v>
      </c>
      <c r="D76" s="1244"/>
      <c r="E76" s="465"/>
      <c r="F76" s="580"/>
      <c r="G76" s="1238">
        <f t="shared" si="6"/>
        <v>0</v>
      </c>
      <c r="H76" s="1239"/>
      <c r="I76" s="465"/>
      <c r="J76" s="580"/>
      <c r="K76" s="1238">
        <f t="shared" si="7"/>
        <v>0</v>
      </c>
      <c r="L76" s="1239"/>
      <c r="M76" s="465"/>
      <c r="N76" s="580"/>
      <c r="O76" s="1238">
        <f t="shared" si="8"/>
        <v>0</v>
      </c>
      <c r="P76" s="1239"/>
      <c r="Q76" s="523"/>
      <c r="R76" s="523"/>
      <c r="S76" s="523"/>
      <c r="T76" s="379"/>
    </row>
    <row r="77" spans="1:20" s="334" customFormat="1" ht="27.75" customHeight="1" x14ac:dyDescent="0.2">
      <c r="A77" s="452">
        <v>244</v>
      </c>
      <c r="B77" s="451">
        <v>20</v>
      </c>
      <c r="C77" s="1186" t="s">
        <v>706</v>
      </c>
      <c r="D77" s="1244"/>
      <c r="E77" s="465"/>
      <c r="F77" s="580"/>
      <c r="G77" s="1238">
        <f t="shared" si="6"/>
        <v>0</v>
      </c>
      <c r="H77" s="1239"/>
      <c r="I77" s="465"/>
      <c r="J77" s="580"/>
      <c r="K77" s="1238">
        <f t="shared" si="7"/>
        <v>0</v>
      </c>
      <c r="L77" s="1239"/>
      <c r="M77" s="465"/>
      <c r="N77" s="580"/>
      <c r="O77" s="1238">
        <f t="shared" si="8"/>
        <v>0</v>
      </c>
      <c r="P77" s="1239"/>
      <c r="Q77" s="523"/>
      <c r="R77" s="523"/>
      <c r="S77" s="523"/>
      <c r="T77" s="379"/>
    </row>
    <row r="78" spans="1:20" s="334" customFormat="1" ht="27.75" customHeight="1" x14ac:dyDescent="0.2">
      <c r="A78" s="452">
        <v>244</v>
      </c>
      <c r="B78" s="451">
        <v>21</v>
      </c>
      <c r="C78" s="1186" t="s">
        <v>707</v>
      </c>
      <c r="D78" s="1244"/>
      <c r="E78" s="465"/>
      <c r="F78" s="580"/>
      <c r="G78" s="1238">
        <f t="shared" si="6"/>
        <v>0</v>
      </c>
      <c r="H78" s="1239"/>
      <c r="I78" s="465"/>
      <c r="J78" s="580"/>
      <c r="K78" s="1238">
        <f t="shared" si="7"/>
        <v>0</v>
      </c>
      <c r="L78" s="1239"/>
      <c r="M78" s="465"/>
      <c r="N78" s="580"/>
      <c r="O78" s="1238">
        <f t="shared" si="8"/>
        <v>0</v>
      </c>
      <c r="P78" s="1239"/>
      <c r="Q78" s="523"/>
      <c r="R78" s="523"/>
      <c r="S78" s="523"/>
      <c r="T78" s="379"/>
    </row>
    <row r="79" spans="1:20" s="334" customFormat="1" ht="27.75" customHeight="1" x14ac:dyDescent="0.2">
      <c r="A79" s="452">
        <v>244</v>
      </c>
      <c r="B79" s="451">
        <v>22</v>
      </c>
      <c r="C79" s="1186" t="s">
        <v>708</v>
      </c>
      <c r="D79" s="1244"/>
      <c r="E79" s="465"/>
      <c r="F79" s="580"/>
      <c r="G79" s="1238">
        <f t="shared" si="6"/>
        <v>0</v>
      </c>
      <c r="H79" s="1239"/>
      <c r="I79" s="465"/>
      <c r="J79" s="580"/>
      <c r="K79" s="1238">
        <f t="shared" si="7"/>
        <v>0</v>
      </c>
      <c r="L79" s="1239"/>
      <c r="M79" s="465"/>
      <c r="N79" s="580"/>
      <c r="O79" s="1238">
        <f t="shared" si="8"/>
        <v>0</v>
      </c>
      <c r="P79" s="1239"/>
      <c r="Q79" s="523"/>
      <c r="R79" s="523"/>
      <c r="S79" s="523"/>
      <c r="T79" s="379"/>
    </row>
    <row r="80" spans="1:20" s="334" customFormat="1" ht="27.75" customHeight="1" x14ac:dyDescent="0.2">
      <c r="A80" s="452">
        <v>244</v>
      </c>
      <c r="B80" s="451">
        <v>23</v>
      </c>
      <c r="C80" s="1186" t="s">
        <v>709</v>
      </c>
      <c r="D80" s="1244"/>
      <c r="E80" s="465"/>
      <c r="F80" s="580"/>
      <c r="G80" s="1238">
        <f t="shared" si="6"/>
        <v>0</v>
      </c>
      <c r="H80" s="1239"/>
      <c r="I80" s="465"/>
      <c r="J80" s="580"/>
      <c r="K80" s="1238">
        <f t="shared" si="7"/>
        <v>0</v>
      </c>
      <c r="L80" s="1239"/>
      <c r="M80" s="465"/>
      <c r="N80" s="580"/>
      <c r="O80" s="1238">
        <f t="shared" si="8"/>
        <v>0</v>
      </c>
      <c r="P80" s="1239"/>
      <c r="Q80" s="523"/>
      <c r="R80" s="523"/>
      <c r="S80" s="523"/>
      <c r="T80" s="379"/>
    </row>
    <row r="81" spans="1:20" s="334" customFormat="1" ht="27.75" customHeight="1" x14ac:dyDescent="0.2">
      <c r="A81" s="452">
        <v>244</v>
      </c>
      <c r="B81" s="451">
        <v>24</v>
      </c>
      <c r="C81" s="1186" t="s">
        <v>710</v>
      </c>
      <c r="D81" s="1244"/>
      <c r="E81" s="465"/>
      <c r="F81" s="580"/>
      <c r="G81" s="1238">
        <f t="shared" si="6"/>
        <v>0</v>
      </c>
      <c r="H81" s="1239"/>
      <c r="I81" s="465"/>
      <c r="J81" s="580"/>
      <c r="K81" s="1238">
        <f t="shared" si="7"/>
        <v>0</v>
      </c>
      <c r="L81" s="1239"/>
      <c r="M81" s="465"/>
      <c r="N81" s="580"/>
      <c r="O81" s="1238">
        <f t="shared" si="8"/>
        <v>0</v>
      </c>
      <c r="P81" s="1239"/>
      <c r="Q81" s="523"/>
      <c r="R81" s="523"/>
      <c r="S81" s="523"/>
      <c r="T81" s="379"/>
    </row>
    <row r="82" spans="1:20" s="334" customFormat="1" ht="27.75" customHeight="1" x14ac:dyDescent="0.2">
      <c r="A82" s="452">
        <v>244</v>
      </c>
      <c r="B82" s="451">
        <v>25</v>
      </c>
      <c r="C82" s="1186" t="s">
        <v>711</v>
      </c>
      <c r="D82" s="1244"/>
      <c r="E82" s="465"/>
      <c r="F82" s="580"/>
      <c r="G82" s="1238">
        <f t="shared" si="6"/>
        <v>0</v>
      </c>
      <c r="H82" s="1239"/>
      <c r="I82" s="465"/>
      <c r="J82" s="580"/>
      <c r="K82" s="1238">
        <f t="shared" si="7"/>
        <v>0</v>
      </c>
      <c r="L82" s="1239"/>
      <c r="M82" s="465"/>
      <c r="N82" s="580"/>
      <c r="O82" s="1238">
        <f t="shared" si="8"/>
        <v>0</v>
      </c>
      <c r="P82" s="1239"/>
      <c r="Q82" s="523"/>
      <c r="R82" s="523"/>
      <c r="S82" s="523"/>
      <c r="T82" s="379"/>
    </row>
    <row r="83" spans="1:20" s="334" customFormat="1" ht="27.75" customHeight="1" x14ac:dyDescent="0.2">
      <c r="A83" s="452">
        <v>244</v>
      </c>
      <c r="B83" s="451">
        <v>26</v>
      </c>
      <c r="C83" s="1186" t="s">
        <v>712</v>
      </c>
      <c r="D83" s="1244"/>
      <c r="E83" s="465"/>
      <c r="F83" s="580"/>
      <c r="G83" s="1238">
        <f t="shared" si="6"/>
        <v>0</v>
      </c>
      <c r="H83" s="1239"/>
      <c r="I83" s="465"/>
      <c r="J83" s="580"/>
      <c r="K83" s="1238">
        <f t="shared" si="7"/>
        <v>0</v>
      </c>
      <c r="L83" s="1239"/>
      <c r="M83" s="465"/>
      <c r="N83" s="580"/>
      <c r="O83" s="1238">
        <f t="shared" si="8"/>
        <v>0</v>
      </c>
      <c r="P83" s="1239"/>
      <c r="Q83" s="523"/>
      <c r="R83" s="523"/>
      <c r="S83" s="523"/>
      <c r="T83" s="379"/>
    </row>
    <row r="84" spans="1:20" s="334" customFormat="1" ht="27.75" customHeight="1" x14ac:dyDescent="0.2">
      <c r="A84" s="452">
        <v>244</v>
      </c>
      <c r="B84" s="451">
        <v>27</v>
      </c>
      <c r="C84" s="1186" t="s">
        <v>713</v>
      </c>
      <c r="D84" s="1244"/>
      <c r="E84" s="465"/>
      <c r="F84" s="580"/>
      <c r="G84" s="1238">
        <f t="shared" si="6"/>
        <v>0</v>
      </c>
      <c r="H84" s="1239"/>
      <c r="I84" s="465"/>
      <c r="J84" s="580"/>
      <c r="K84" s="1238">
        <f t="shared" si="7"/>
        <v>0</v>
      </c>
      <c r="L84" s="1239"/>
      <c r="M84" s="465"/>
      <c r="N84" s="580"/>
      <c r="O84" s="1238">
        <f t="shared" si="8"/>
        <v>0</v>
      </c>
      <c r="P84" s="1239"/>
      <c r="Q84" s="523"/>
      <c r="R84" s="523"/>
      <c r="S84" s="523"/>
      <c r="T84" s="379"/>
    </row>
    <row r="85" spans="1:20" s="334" customFormat="1" ht="27.75" customHeight="1" x14ac:dyDescent="0.2">
      <c r="A85" s="452">
        <v>244</v>
      </c>
      <c r="B85" s="451">
        <v>28</v>
      </c>
      <c r="C85" s="1186" t="s">
        <v>714</v>
      </c>
      <c r="D85" s="1244"/>
      <c r="E85" s="465"/>
      <c r="F85" s="580"/>
      <c r="G85" s="1238">
        <f t="shared" si="6"/>
        <v>0</v>
      </c>
      <c r="H85" s="1239"/>
      <c r="I85" s="465"/>
      <c r="J85" s="580"/>
      <c r="K85" s="1238">
        <f t="shared" si="7"/>
        <v>0</v>
      </c>
      <c r="L85" s="1239"/>
      <c r="M85" s="465"/>
      <c r="N85" s="580"/>
      <c r="O85" s="1238">
        <f t="shared" si="8"/>
        <v>0</v>
      </c>
      <c r="P85" s="1239"/>
      <c r="Q85" s="523"/>
      <c r="R85" s="523"/>
      <c r="S85" s="523"/>
      <c r="T85" s="379"/>
    </row>
    <row r="86" spans="1:20" s="334" customFormat="1" ht="27.75" customHeight="1" x14ac:dyDescent="0.2">
      <c r="A86" s="452">
        <v>244</v>
      </c>
      <c r="B86" s="451">
        <v>29</v>
      </c>
      <c r="C86" s="1186" t="s">
        <v>715</v>
      </c>
      <c r="D86" s="1244"/>
      <c r="E86" s="465"/>
      <c r="F86" s="580"/>
      <c r="G86" s="1238">
        <f t="shared" si="6"/>
        <v>0</v>
      </c>
      <c r="H86" s="1239"/>
      <c r="I86" s="465"/>
      <c r="J86" s="580"/>
      <c r="K86" s="1238">
        <f t="shared" si="7"/>
        <v>0</v>
      </c>
      <c r="L86" s="1239"/>
      <c r="M86" s="465"/>
      <c r="N86" s="580"/>
      <c r="O86" s="1238">
        <f t="shared" si="8"/>
        <v>0</v>
      </c>
      <c r="P86" s="1239"/>
      <c r="Q86" s="523"/>
      <c r="R86" s="523"/>
      <c r="S86" s="523"/>
      <c r="T86" s="379"/>
    </row>
    <row r="87" spans="1:20" s="334" customFormat="1" ht="27.75" customHeight="1" x14ac:dyDescent="0.2">
      <c r="A87" s="452">
        <v>244</v>
      </c>
      <c r="B87" s="451">
        <v>30</v>
      </c>
      <c r="C87" s="1186" t="s">
        <v>716</v>
      </c>
      <c r="D87" s="1244"/>
      <c r="E87" s="465"/>
      <c r="F87" s="580"/>
      <c r="G87" s="1238">
        <f t="shared" si="6"/>
        <v>0</v>
      </c>
      <c r="H87" s="1239"/>
      <c r="I87" s="465"/>
      <c r="J87" s="580"/>
      <c r="K87" s="1238">
        <f t="shared" si="7"/>
        <v>0</v>
      </c>
      <c r="L87" s="1239"/>
      <c r="M87" s="465"/>
      <c r="N87" s="580"/>
      <c r="O87" s="1238">
        <f t="shared" si="8"/>
        <v>0</v>
      </c>
      <c r="P87" s="1239"/>
      <c r="Q87" s="523"/>
      <c r="R87" s="523"/>
      <c r="S87" s="523"/>
      <c r="T87" s="379"/>
    </row>
    <row r="88" spans="1:20" s="334" customFormat="1" ht="27.75" customHeight="1" x14ac:dyDescent="0.2">
      <c r="A88" s="452">
        <v>244</v>
      </c>
      <c r="B88" s="451">
        <v>31</v>
      </c>
      <c r="C88" s="1186" t="s">
        <v>717</v>
      </c>
      <c r="D88" s="1244"/>
      <c r="E88" s="465"/>
      <c r="F88" s="580"/>
      <c r="G88" s="1238">
        <f t="shared" si="6"/>
        <v>0</v>
      </c>
      <c r="H88" s="1239"/>
      <c r="I88" s="465"/>
      <c r="J88" s="580"/>
      <c r="K88" s="1238">
        <f t="shared" si="7"/>
        <v>0</v>
      </c>
      <c r="L88" s="1239"/>
      <c r="M88" s="465"/>
      <c r="N88" s="580"/>
      <c r="O88" s="1238">
        <f t="shared" si="8"/>
        <v>0</v>
      </c>
      <c r="P88" s="1239"/>
      <c r="Q88" s="523"/>
      <c r="R88" s="523"/>
      <c r="S88" s="523"/>
      <c r="T88" s="379"/>
    </row>
    <row r="89" spans="1:20" s="334" customFormat="1" ht="27.75" customHeight="1" x14ac:dyDescent="0.2">
      <c r="A89" s="452">
        <v>244</v>
      </c>
      <c r="B89" s="451">
        <v>32</v>
      </c>
      <c r="C89" s="1186" t="s">
        <v>718</v>
      </c>
      <c r="D89" s="1244"/>
      <c r="E89" s="465"/>
      <c r="F89" s="580"/>
      <c r="G89" s="1238">
        <f t="shared" si="6"/>
        <v>0</v>
      </c>
      <c r="H89" s="1239"/>
      <c r="I89" s="465"/>
      <c r="J89" s="580"/>
      <c r="K89" s="1238">
        <f t="shared" si="7"/>
        <v>0</v>
      </c>
      <c r="L89" s="1239"/>
      <c r="M89" s="465"/>
      <c r="N89" s="580"/>
      <c r="O89" s="1238">
        <f t="shared" si="8"/>
        <v>0</v>
      </c>
      <c r="P89" s="1239"/>
      <c r="Q89" s="523"/>
      <c r="R89" s="523"/>
      <c r="S89" s="523"/>
      <c r="T89" s="379"/>
    </row>
    <row r="90" spans="1:20" s="334" customFormat="1" ht="27.75" customHeight="1" x14ac:dyDescent="0.2">
      <c r="A90" s="452">
        <v>244</v>
      </c>
      <c r="B90" s="451">
        <v>33</v>
      </c>
      <c r="C90" s="1186" t="s">
        <v>719</v>
      </c>
      <c r="D90" s="1244"/>
      <c r="E90" s="465"/>
      <c r="F90" s="580"/>
      <c r="G90" s="1238">
        <f t="shared" si="6"/>
        <v>0</v>
      </c>
      <c r="H90" s="1239"/>
      <c r="I90" s="465"/>
      <c r="J90" s="580"/>
      <c r="K90" s="1238">
        <f t="shared" si="7"/>
        <v>0</v>
      </c>
      <c r="L90" s="1239"/>
      <c r="M90" s="465"/>
      <c r="N90" s="580"/>
      <c r="O90" s="1238">
        <f t="shared" si="8"/>
        <v>0</v>
      </c>
      <c r="P90" s="1239"/>
      <c r="Q90" s="523"/>
      <c r="R90" s="523"/>
      <c r="S90" s="523"/>
      <c r="T90" s="379"/>
    </row>
    <row r="91" spans="1:20" s="334" customFormat="1" ht="27.75" customHeight="1" x14ac:dyDescent="0.2">
      <c r="A91" s="452">
        <v>244</v>
      </c>
      <c r="B91" s="451">
        <v>34</v>
      </c>
      <c r="C91" s="1186" t="s">
        <v>720</v>
      </c>
      <c r="D91" s="1244"/>
      <c r="E91" s="465"/>
      <c r="F91" s="580"/>
      <c r="G91" s="1238">
        <f t="shared" si="6"/>
        <v>0</v>
      </c>
      <c r="H91" s="1239"/>
      <c r="I91" s="465"/>
      <c r="J91" s="580"/>
      <c r="K91" s="1238">
        <f t="shared" si="7"/>
        <v>0</v>
      </c>
      <c r="L91" s="1239"/>
      <c r="M91" s="465"/>
      <c r="N91" s="580"/>
      <c r="O91" s="1238">
        <f t="shared" si="8"/>
        <v>0</v>
      </c>
      <c r="P91" s="1239"/>
      <c r="Q91" s="523"/>
      <c r="R91" s="523"/>
      <c r="S91" s="523"/>
      <c r="T91" s="379"/>
    </row>
    <row r="92" spans="1:20" s="334" customFormat="1" ht="27.75" customHeight="1" x14ac:dyDescent="0.2">
      <c r="A92" s="452">
        <v>244</v>
      </c>
      <c r="B92" s="451">
        <v>35</v>
      </c>
      <c r="C92" s="1186" t="s">
        <v>721</v>
      </c>
      <c r="D92" s="1244"/>
      <c r="E92" s="465"/>
      <c r="F92" s="580"/>
      <c r="G92" s="1238">
        <f t="shared" si="6"/>
        <v>0</v>
      </c>
      <c r="H92" s="1239"/>
      <c r="I92" s="465"/>
      <c r="J92" s="580"/>
      <c r="K92" s="1238">
        <f t="shared" si="7"/>
        <v>0</v>
      </c>
      <c r="L92" s="1239"/>
      <c r="M92" s="465"/>
      <c r="N92" s="580"/>
      <c r="O92" s="1238">
        <f t="shared" si="8"/>
        <v>0</v>
      </c>
      <c r="P92" s="1239"/>
      <c r="Q92" s="523"/>
      <c r="R92" s="523"/>
      <c r="S92" s="523"/>
      <c r="T92" s="379"/>
    </row>
    <row r="93" spans="1:20" s="334" customFormat="1" ht="27.75" customHeight="1" x14ac:dyDescent="0.2">
      <c r="A93" s="452">
        <v>244</v>
      </c>
      <c r="B93" s="451">
        <v>36</v>
      </c>
      <c r="C93" s="1186" t="s">
        <v>722</v>
      </c>
      <c r="D93" s="1244"/>
      <c r="E93" s="465"/>
      <c r="F93" s="580"/>
      <c r="G93" s="1238">
        <f t="shared" si="6"/>
        <v>0</v>
      </c>
      <c r="H93" s="1239"/>
      <c r="I93" s="465"/>
      <c r="J93" s="580"/>
      <c r="K93" s="1238">
        <f t="shared" si="7"/>
        <v>0</v>
      </c>
      <c r="L93" s="1239"/>
      <c r="M93" s="465"/>
      <c r="N93" s="580"/>
      <c r="O93" s="1238">
        <f t="shared" si="8"/>
        <v>0</v>
      </c>
      <c r="P93" s="1239"/>
      <c r="Q93" s="523"/>
      <c r="R93" s="523"/>
      <c r="S93" s="523"/>
      <c r="T93" s="379"/>
    </row>
    <row r="94" spans="1:20" s="334" customFormat="1" ht="27.75" customHeight="1" x14ac:dyDescent="0.2">
      <c r="A94" s="452">
        <v>244</v>
      </c>
      <c r="B94" s="451">
        <v>37</v>
      </c>
      <c r="C94" s="1186" t="s">
        <v>723</v>
      </c>
      <c r="D94" s="1244"/>
      <c r="E94" s="465"/>
      <c r="F94" s="580"/>
      <c r="G94" s="1238">
        <f t="shared" si="6"/>
        <v>0</v>
      </c>
      <c r="H94" s="1239"/>
      <c r="I94" s="465"/>
      <c r="J94" s="580"/>
      <c r="K94" s="1238">
        <f t="shared" si="7"/>
        <v>0</v>
      </c>
      <c r="L94" s="1239"/>
      <c r="M94" s="465"/>
      <c r="N94" s="580"/>
      <c r="O94" s="1238">
        <f t="shared" si="8"/>
        <v>0</v>
      </c>
      <c r="P94" s="1239"/>
      <c r="Q94" s="523"/>
      <c r="R94" s="523"/>
      <c r="S94" s="523"/>
      <c r="T94" s="379"/>
    </row>
    <row r="95" spans="1:20" s="334" customFormat="1" ht="27.75" customHeight="1" x14ac:dyDescent="0.2">
      <c r="A95" s="452">
        <v>244</v>
      </c>
      <c r="B95" s="451">
        <v>38</v>
      </c>
      <c r="C95" s="1186" t="s">
        <v>724</v>
      </c>
      <c r="D95" s="1244"/>
      <c r="E95" s="465"/>
      <c r="F95" s="580"/>
      <c r="G95" s="1238">
        <f t="shared" si="6"/>
        <v>0</v>
      </c>
      <c r="H95" s="1239"/>
      <c r="I95" s="465"/>
      <c r="J95" s="580"/>
      <c r="K95" s="1238">
        <f t="shared" si="7"/>
        <v>0</v>
      </c>
      <c r="L95" s="1239"/>
      <c r="M95" s="465"/>
      <c r="N95" s="580"/>
      <c r="O95" s="1238">
        <f t="shared" si="8"/>
        <v>0</v>
      </c>
      <c r="P95" s="1239"/>
      <c r="Q95" s="523"/>
      <c r="R95" s="523"/>
      <c r="S95" s="523"/>
      <c r="T95" s="379"/>
    </row>
    <row r="96" spans="1:20" s="334" customFormat="1" ht="27.75" customHeight="1" x14ac:dyDescent="0.2">
      <c r="A96" s="452">
        <v>244</v>
      </c>
      <c r="B96" s="451">
        <v>39</v>
      </c>
      <c r="C96" s="1186" t="s">
        <v>725</v>
      </c>
      <c r="D96" s="1244"/>
      <c r="E96" s="465"/>
      <c r="F96" s="580"/>
      <c r="G96" s="1238">
        <f t="shared" si="6"/>
        <v>0</v>
      </c>
      <c r="H96" s="1239"/>
      <c r="I96" s="465"/>
      <c r="J96" s="580"/>
      <c r="K96" s="1238">
        <f t="shared" si="7"/>
        <v>0</v>
      </c>
      <c r="L96" s="1239"/>
      <c r="M96" s="465"/>
      <c r="N96" s="580"/>
      <c r="O96" s="1238">
        <f t="shared" si="8"/>
        <v>0</v>
      </c>
      <c r="P96" s="1239"/>
      <c r="Q96" s="523"/>
      <c r="R96" s="523"/>
      <c r="S96" s="523"/>
      <c r="T96" s="379"/>
    </row>
    <row r="97" spans="1:20" s="334" customFormat="1" ht="27.75" customHeight="1" x14ac:dyDescent="0.2">
      <c r="A97" s="493">
        <v>244</v>
      </c>
      <c r="B97" s="496">
        <v>40</v>
      </c>
      <c r="C97" s="1186" t="s">
        <v>726</v>
      </c>
      <c r="D97" s="1244"/>
      <c r="E97" s="469"/>
      <c r="F97" s="665"/>
      <c r="G97" s="1070">
        <f>G98-SUM(G58:H96)</f>
        <v>0</v>
      </c>
      <c r="H97" s="1075"/>
      <c r="I97" s="469"/>
      <c r="J97" s="665"/>
      <c r="K97" s="1070">
        <f>K98-SUM(K58:L96)</f>
        <v>0</v>
      </c>
      <c r="L97" s="1075"/>
      <c r="M97" s="469"/>
      <c r="N97" s="665"/>
      <c r="O97" s="1070">
        <f>O98-SUM(O58:P96)</f>
        <v>0</v>
      </c>
      <c r="P97" s="1075"/>
      <c r="Q97" s="523"/>
      <c r="R97" s="523"/>
      <c r="S97" s="523"/>
      <c r="T97" s="379"/>
    </row>
    <row r="98" spans="1:20" s="524" customFormat="1" ht="27.75" customHeight="1" x14ac:dyDescent="0.2">
      <c r="A98" s="517"/>
      <c r="B98" s="522"/>
      <c r="C98" s="1249" t="s">
        <v>611</v>
      </c>
      <c r="D98" s="1250"/>
      <c r="E98" s="512" t="s">
        <v>462</v>
      </c>
      <c r="F98" s="511" t="s">
        <v>462</v>
      </c>
      <c r="G98" s="1008">
        <f>SUMIFS(Титульный!$E$13:$E$157,Титульный!$A$13:$A$157,'Расходы КФО 5'!$Q98,Титульный!$B$13:$B$157,'Расходы КФО 5'!$R98,Титульный!$D$13:$D$157,'Расходы КФО 5'!$S98)</f>
        <v>0</v>
      </c>
      <c r="H98" s="1009">
        <f>SUMIFS(Титульный!$E$13:$E$157,Титульный!$A$13:$A$157,'Расходы КФО 5'!$Q98,Титульный!$B$13:$B$157,'Расходы КФО 5'!$R98,Титульный!$D$13:$D$157,'Расходы КФО 5'!$S98)</f>
        <v>0</v>
      </c>
      <c r="I98" s="512" t="s">
        <v>462</v>
      </c>
      <c r="J98" s="511" t="s">
        <v>462</v>
      </c>
      <c r="K98" s="1008">
        <f>SUMIFS(Титульный!$F$13:$F$157,
Титульный!$A$13:$A$157,'Расходы КФО 5'!$Q98,
Титульный!$B$13:$B$157,'Расходы КФО 5'!$R98,
Титульный!$D$13:$D$157,'Расходы КФО 5'!$S98)</f>
        <v>0</v>
      </c>
      <c r="L98" s="1009">
        <f>SUMIFS(Титульный!$F$13:$F$157,
Титульный!$A$13:$A$157,'Расходы КФО 5'!$Q98,
Титульный!$B$13:$B$157,'Расходы КФО 5'!$R98,
Титульный!$D$13:$D$157,'Расходы КФО 5'!$S98)</f>
        <v>0</v>
      </c>
      <c r="M98" s="510" t="s">
        <v>462</v>
      </c>
      <c r="N98" s="511" t="s">
        <v>462</v>
      </c>
      <c r="O98" s="1008">
        <f>SUMIFS(Титульный!$G$13:$G$157,
Титульный!$A$13:$A$157,'Расходы КФО 5'!$Q98,
Титульный!$B$13:$B$157,'Расходы КФО 5'!$R98,
Титульный!$D$13:$D$157,'Расходы КФО 5'!$S98)</f>
        <v>0</v>
      </c>
      <c r="P98" s="1009">
        <f>SUMIFS(Титульный!$G$13:$G$157,
Титульный!$A$13:$A$157,'Расходы КФО 5'!$Q98,
Титульный!$B$13:$B$157,'Расходы КФО 5'!$R98,
Титульный!$D$13:$D$157,'Расходы КФО 5'!$S98)</f>
        <v>0</v>
      </c>
      <c r="Q98" s="523">
        <v>5</v>
      </c>
      <c r="R98" s="523">
        <v>244</v>
      </c>
      <c r="S98" s="523">
        <v>225</v>
      </c>
      <c r="T98" s="523"/>
    </row>
    <row r="99" spans="1:20" s="374" customFormat="1" ht="12" customHeight="1" x14ac:dyDescent="0.2">
      <c r="B99" s="506"/>
      <c r="Q99" s="531"/>
      <c r="R99" s="531"/>
      <c r="S99" s="531"/>
      <c r="T99" s="376"/>
    </row>
    <row r="100" spans="1:20" s="374" customFormat="1" ht="12" customHeight="1" x14ac:dyDescent="0.2">
      <c r="B100" s="506"/>
      <c r="Q100" s="531"/>
      <c r="R100" s="531"/>
      <c r="S100" s="531"/>
      <c r="T100" s="376"/>
    </row>
    <row r="101" spans="1:20" s="374" customFormat="1" ht="12" customHeight="1" x14ac:dyDescent="0.2">
      <c r="B101" s="506"/>
      <c r="Q101" s="531"/>
      <c r="R101" s="531"/>
      <c r="S101" s="531"/>
      <c r="T101" s="376"/>
    </row>
    <row r="102" spans="1:20" s="449" customFormat="1" ht="27.75" customHeight="1" x14ac:dyDescent="0.2">
      <c r="A102" s="989" t="s">
        <v>637</v>
      </c>
      <c r="B102" s="989"/>
      <c r="C102" s="989"/>
      <c r="D102" s="989"/>
      <c r="E102" s="989"/>
      <c r="F102" s="989"/>
      <c r="G102" s="989"/>
      <c r="H102" s="989"/>
      <c r="I102" s="989"/>
      <c r="J102" s="989"/>
      <c r="K102" s="989"/>
      <c r="L102" s="989"/>
      <c r="M102" s="989"/>
      <c r="N102" s="989"/>
      <c r="O102" s="989"/>
      <c r="P102" s="989"/>
      <c r="Q102" s="523"/>
      <c r="R102" s="523"/>
      <c r="S102" s="523"/>
      <c r="T102" s="448"/>
    </row>
    <row r="103" spans="1:20" s="374" customFormat="1" ht="12" customHeight="1" x14ac:dyDescent="0.2">
      <c r="B103" s="506"/>
      <c r="Q103" s="531"/>
      <c r="R103" s="531"/>
      <c r="S103" s="531"/>
      <c r="T103" s="376"/>
    </row>
    <row r="104" spans="1:20" s="374" customFormat="1" ht="33" customHeight="1" x14ac:dyDescent="0.2">
      <c r="A104" s="1034" t="s">
        <v>598</v>
      </c>
      <c r="B104" s="1000" t="s">
        <v>484</v>
      </c>
      <c r="C104" s="1208" t="s">
        <v>610</v>
      </c>
      <c r="D104" s="1064"/>
      <c r="E104" s="1176" t="s">
        <v>831</v>
      </c>
      <c r="F104" s="1177"/>
      <c r="G104" s="1177"/>
      <c r="H104" s="1178"/>
      <c r="I104" s="1179" t="s">
        <v>825</v>
      </c>
      <c r="J104" s="1180"/>
      <c r="K104" s="1180"/>
      <c r="L104" s="1181"/>
      <c r="M104" s="1190" t="s">
        <v>823</v>
      </c>
      <c r="N104" s="1180"/>
      <c r="O104" s="1180"/>
      <c r="P104" s="1181"/>
      <c r="Q104" s="531"/>
      <c r="R104" s="531"/>
      <c r="S104" s="531"/>
      <c r="T104" s="376"/>
    </row>
    <row r="105" spans="1:20" s="374" customFormat="1" ht="51" x14ac:dyDescent="0.2">
      <c r="A105" s="1035"/>
      <c r="B105" s="1036"/>
      <c r="C105" s="1245"/>
      <c r="D105" s="1246"/>
      <c r="E105" s="399" t="s">
        <v>638</v>
      </c>
      <c r="F105" s="401" t="s">
        <v>639</v>
      </c>
      <c r="G105" s="1203" t="s">
        <v>553</v>
      </c>
      <c r="H105" s="1204"/>
      <c r="I105" s="399" t="s">
        <v>638</v>
      </c>
      <c r="J105" s="401" t="s">
        <v>639</v>
      </c>
      <c r="K105" s="1203" t="s">
        <v>553</v>
      </c>
      <c r="L105" s="1204"/>
      <c r="M105" s="399" t="s">
        <v>638</v>
      </c>
      <c r="N105" s="401" t="s">
        <v>639</v>
      </c>
      <c r="O105" s="1203" t="s">
        <v>553</v>
      </c>
      <c r="P105" s="1204"/>
      <c r="Q105" s="531"/>
      <c r="R105" s="531"/>
      <c r="S105" s="531"/>
      <c r="T105" s="376"/>
    </row>
    <row r="106" spans="1:20" s="374" customFormat="1" x14ac:dyDescent="0.2">
      <c r="A106" s="387" t="s">
        <v>6</v>
      </c>
      <c r="B106" s="732" t="s">
        <v>7</v>
      </c>
      <c r="C106" s="1247" t="s">
        <v>8</v>
      </c>
      <c r="D106" s="1248"/>
      <c r="E106" s="417">
        <v>4</v>
      </c>
      <c r="F106" s="408">
        <v>5</v>
      </c>
      <c r="G106" s="1004" t="s">
        <v>784</v>
      </c>
      <c r="H106" s="1005"/>
      <c r="I106" s="417">
        <v>7</v>
      </c>
      <c r="J106" s="408">
        <v>8</v>
      </c>
      <c r="K106" s="1004" t="s">
        <v>785</v>
      </c>
      <c r="L106" s="1005"/>
      <c r="M106" s="417" t="s">
        <v>463</v>
      </c>
      <c r="N106" s="408" t="s">
        <v>468</v>
      </c>
      <c r="O106" s="1004" t="s">
        <v>556</v>
      </c>
      <c r="P106" s="1005"/>
      <c r="Q106" s="531"/>
      <c r="R106" s="531"/>
      <c r="S106" s="531"/>
      <c r="T106" s="376"/>
    </row>
    <row r="107" spans="1:20" s="334" customFormat="1" ht="27.75" customHeight="1" x14ac:dyDescent="0.2">
      <c r="A107" s="452">
        <v>244</v>
      </c>
      <c r="B107" s="451">
        <v>1</v>
      </c>
      <c r="C107" s="1186" t="s">
        <v>727</v>
      </c>
      <c r="D107" s="1244"/>
      <c r="E107" s="465"/>
      <c r="F107" s="580"/>
      <c r="G107" s="1002">
        <f>E107*F107</f>
        <v>0</v>
      </c>
      <c r="H107" s="1003"/>
      <c r="I107" s="465"/>
      <c r="J107" s="580"/>
      <c r="K107" s="1002">
        <f>I107*J107</f>
        <v>0</v>
      </c>
      <c r="L107" s="1003"/>
      <c r="M107" s="465"/>
      <c r="N107" s="580"/>
      <c r="O107" s="1002">
        <f>M107*N107</f>
        <v>0</v>
      </c>
      <c r="P107" s="1003"/>
      <c r="Q107" s="523"/>
      <c r="R107" s="523"/>
      <c r="S107" s="523"/>
      <c r="T107" s="379"/>
    </row>
    <row r="108" spans="1:20" s="334" customFormat="1" ht="27.75" customHeight="1" x14ac:dyDescent="0.2">
      <c r="A108" s="452">
        <v>244</v>
      </c>
      <c r="B108" s="451">
        <v>2</v>
      </c>
      <c r="C108" s="1186" t="s">
        <v>728</v>
      </c>
      <c r="D108" s="1244"/>
      <c r="E108" s="465"/>
      <c r="F108" s="580"/>
      <c r="G108" s="1238">
        <f t="shared" ref="G108:G118" si="9">E108*F108</f>
        <v>0</v>
      </c>
      <c r="H108" s="1239"/>
      <c r="I108" s="465"/>
      <c r="J108" s="580"/>
      <c r="K108" s="1238">
        <f t="shared" ref="K108:K118" si="10">I108*J108</f>
        <v>0</v>
      </c>
      <c r="L108" s="1239"/>
      <c r="M108" s="465"/>
      <c r="N108" s="580"/>
      <c r="O108" s="1238">
        <f t="shared" ref="O108:O118" si="11">M108*N108</f>
        <v>0</v>
      </c>
      <c r="P108" s="1239"/>
      <c r="Q108" s="523"/>
      <c r="R108" s="523"/>
      <c r="S108" s="523"/>
      <c r="T108" s="379"/>
    </row>
    <row r="109" spans="1:20" s="334" customFormat="1" ht="27.75" customHeight="1" x14ac:dyDescent="0.2">
      <c r="A109" s="452">
        <v>244</v>
      </c>
      <c r="B109" s="451">
        <v>3</v>
      </c>
      <c r="C109" s="1186" t="s">
        <v>729</v>
      </c>
      <c r="D109" s="1244"/>
      <c r="E109" s="465"/>
      <c r="F109" s="580"/>
      <c r="G109" s="1238">
        <f t="shared" si="9"/>
        <v>0</v>
      </c>
      <c r="H109" s="1239"/>
      <c r="I109" s="465"/>
      <c r="J109" s="580"/>
      <c r="K109" s="1238">
        <f t="shared" si="10"/>
        <v>0</v>
      </c>
      <c r="L109" s="1239"/>
      <c r="M109" s="465"/>
      <c r="N109" s="580"/>
      <c r="O109" s="1238">
        <f t="shared" si="11"/>
        <v>0</v>
      </c>
      <c r="P109" s="1239"/>
      <c r="Q109" s="523"/>
      <c r="R109" s="523"/>
      <c r="S109" s="523"/>
      <c r="T109" s="379"/>
    </row>
    <row r="110" spans="1:20" s="334" customFormat="1" ht="27.75" customHeight="1" x14ac:dyDescent="0.2">
      <c r="A110" s="452">
        <v>244</v>
      </c>
      <c r="B110" s="451">
        <v>4</v>
      </c>
      <c r="C110" s="1186" t="s">
        <v>730</v>
      </c>
      <c r="D110" s="1244"/>
      <c r="E110" s="465"/>
      <c r="F110" s="580"/>
      <c r="G110" s="1238">
        <f t="shared" si="9"/>
        <v>0</v>
      </c>
      <c r="H110" s="1239"/>
      <c r="I110" s="465"/>
      <c r="J110" s="580"/>
      <c r="K110" s="1238">
        <f t="shared" si="10"/>
        <v>0</v>
      </c>
      <c r="L110" s="1239"/>
      <c r="M110" s="465"/>
      <c r="N110" s="580"/>
      <c r="O110" s="1238">
        <f t="shared" si="11"/>
        <v>0</v>
      </c>
      <c r="P110" s="1239"/>
      <c r="Q110" s="523"/>
      <c r="R110" s="523"/>
      <c r="S110" s="523"/>
      <c r="T110" s="379"/>
    </row>
    <row r="111" spans="1:20" s="334" customFormat="1" ht="27.75" customHeight="1" x14ac:dyDescent="0.2">
      <c r="A111" s="452">
        <v>244</v>
      </c>
      <c r="B111" s="451">
        <v>5</v>
      </c>
      <c r="C111" s="1186" t="s">
        <v>731</v>
      </c>
      <c r="D111" s="1244"/>
      <c r="E111" s="465"/>
      <c r="F111" s="580"/>
      <c r="G111" s="1238">
        <f t="shared" si="9"/>
        <v>0</v>
      </c>
      <c r="H111" s="1239"/>
      <c r="I111" s="465"/>
      <c r="J111" s="580"/>
      <c r="K111" s="1238">
        <f t="shared" si="10"/>
        <v>0</v>
      </c>
      <c r="L111" s="1239"/>
      <c r="M111" s="465"/>
      <c r="N111" s="580"/>
      <c r="O111" s="1238">
        <f t="shared" si="11"/>
        <v>0</v>
      </c>
      <c r="P111" s="1239"/>
      <c r="Q111" s="523"/>
      <c r="R111" s="523"/>
      <c r="S111" s="523"/>
      <c r="T111" s="379"/>
    </row>
    <row r="112" spans="1:20" s="334" customFormat="1" ht="27.75" customHeight="1" x14ac:dyDescent="0.2">
      <c r="A112" s="452">
        <v>244</v>
      </c>
      <c r="B112" s="451">
        <v>6</v>
      </c>
      <c r="C112" s="1186" t="s">
        <v>733</v>
      </c>
      <c r="D112" s="1244"/>
      <c r="E112" s="465"/>
      <c r="F112" s="580"/>
      <c r="G112" s="1238">
        <f t="shared" si="9"/>
        <v>0</v>
      </c>
      <c r="H112" s="1239"/>
      <c r="I112" s="465"/>
      <c r="J112" s="580"/>
      <c r="K112" s="1238">
        <f t="shared" si="10"/>
        <v>0</v>
      </c>
      <c r="L112" s="1239"/>
      <c r="M112" s="465"/>
      <c r="N112" s="580"/>
      <c r="O112" s="1238">
        <f t="shared" si="11"/>
        <v>0</v>
      </c>
      <c r="P112" s="1239"/>
      <c r="Q112" s="523"/>
      <c r="R112" s="523"/>
      <c r="S112" s="523"/>
      <c r="T112" s="379"/>
    </row>
    <row r="113" spans="1:20" s="334" customFormat="1" ht="27.75" customHeight="1" x14ac:dyDescent="0.2">
      <c r="A113" s="452">
        <v>244</v>
      </c>
      <c r="B113" s="451">
        <v>7</v>
      </c>
      <c r="C113" s="1186" t="s">
        <v>734</v>
      </c>
      <c r="D113" s="1244"/>
      <c r="E113" s="465"/>
      <c r="F113" s="580"/>
      <c r="G113" s="1238">
        <f t="shared" si="9"/>
        <v>0</v>
      </c>
      <c r="H113" s="1239"/>
      <c r="I113" s="465"/>
      <c r="J113" s="580"/>
      <c r="K113" s="1238">
        <f t="shared" si="10"/>
        <v>0</v>
      </c>
      <c r="L113" s="1239"/>
      <c r="M113" s="465"/>
      <c r="N113" s="580"/>
      <c r="O113" s="1238">
        <f t="shared" si="11"/>
        <v>0</v>
      </c>
      <c r="P113" s="1239"/>
      <c r="Q113" s="523"/>
      <c r="R113" s="523"/>
      <c r="S113" s="523"/>
      <c r="T113" s="379"/>
    </row>
    <row r="114" spans="1:20" s="334" customFormat="1" ht="27.75" customHeight="1" x14ac:dyDescent="0.2">
      <c r="A114" s="452">
        <v>244</v>
      </c>
      <c r="B114" s="451">
        <v>8</v>
      </c>
      <c r="C114" s="1186" t="s">
        <v>735</v>
      </c>
      <c r="D114" s="1244"/>
      <c r="E114" s="465"/>
      <c r="F114" s="580"/>
      <c r="G114" s="1238">
        <f t="shared" si="9"/>
        <v>0</v>
      </c>
      <c r="H114" s="1239"/>
      <c r="I114" s="465"/>
      <c r="J114" s="580"/>
      <c r="K114" s="1238">
        <f t="shared" si="10"/>
        <v>0</v>
      </c>
      <c r="L114" s="1239"/>
      <c r="M114" s="465"/>
      <c r="N114" s="580"/>
      <c r="O114" s="1238">
        <f t="shared" si="11"/>
        <v>0</v>
      </c>
      <c r="P114" s="1239"/>
      <c r="Q114" s="523"/>
      <c r="R114" s="523"/>
      <c r="S114" s="523"/>
      <c r="T114" s="379"/>
    </row>
    <row r="115" spans="1:20" s="334" customFormat="1" ht="27.75" customHeight="1" x14ac:dyDescent="0.2">
      <c r="A115" s="452">
        <v>244</v>
      </c>
      <c r="B115" s="451">
        <v>9</v>
      </c>
      <c r="C115" s="1186" t="s">
        <v>737</v>
      </c>
      <c r="D115" s="1244"/>
      <c r="E115" s="465"/>
      <c r="F115" s="580"/>
      <c r="G115" s="1238">
        <f t="shared" si="9"/>
        <v>0</v>
      </c>
      <c r="H115" s="1239"/>
      <c r="I115" s="465"/>
      <c r="J115" s="580"/>
      <c r="K115" s="1238">
        <f t="shared" si="10"/>
        <v>0</v>
      </c>
      <c r="L115" s="1239"/>
      <c r="M115" s="465"/>
      <c r="N115" s="580"/>
      <c r="O115" s="1238">
        <f t="shared" si="11"/>
        <v>0</v>
      </c>
      <c r="P115" s="1239"/>
      <c r="Q115" s="523"/>
      <c r="R115" s="523"/>
      <c r="S115" s="523"/>
      <c r="T115" s="379"/>
    </row>
    <row r="116" spans="1:20" s="334" customFormat="1" ht="27.75" customHeight="1" x14ac:dyDescent="0.2">
      <c r="A116" s="452">
        <v>244</v>
      </c>
      <c r="B116" s="451">
        <v>10</v>
      </c>
      <c r="C116" s="1186" t="s">
        <v>738</v>
      </c>
      <c r="D116" s="1244"/>
      <c r="E116" s="465"/>
      <c r="F116" s="580"/>
      <c r="G116" s="1238">
        <f t="shared" si="9"/>
        <v>0</v>
      </c>
      <c r="H116" s="1239"/>
      <c r="I116" s="465"/>
      <c r="J116" s="580"/>
      <c r="K116" s="1238">
        <f t="shared" si="10"/>
        <v>0</v>
      </c>
      <c r="L116" s="1239"/>
      <c r="M116" s="465"/>
      <c r="N116" s="580"/>
      <c r="O116" s="1238">
        <f t="shared" si="11"/>
        <v>0</v>
      </c>
      <c r="P116" s="1239"/>
      <c r="Q116" s="523"/>
      <c r="R116" s="523"/>
      <c r="S116" s="523"/>
      <c r="T116" s="379"/>
    </row>
    <row r="117" spans="1:20" s="334" customFormat="1" ht="27.75" customHeight="1" x14ac:dyDescent="0.2">
      <c r="A117" s="452">
        <v>244</v>
      </c>
      <c r="B117" s="451">
        <v>11</v>
      </c>
      <c r="C117" s="1186" t="s">
        <v>739</v>
      </c>
      <c r="D117" s="1244"/>
      <c r="E117" s="465"/>
      <c r="F117" s="580"/>
      <c r="G117" s="1238">
        <f t="shared" si="9"/>
        <v>0</v>
      </c>
      <c r="H117" s="1239"/>
      <c r="I117" s="465"/>
      <c r="J117" s="580"/>
      <c r="K117" s="1238">
        <f t="shared" si="10"/>
        <v>0</v>
      </c>
      <c r="L117" s="1239"/>
      <c r="M117" s="465"/>
      <c r="N117" s="580"/>
      <c r="O117" s="1238">
        <f t="shared" si="11"/>
        <v>0</v>
      </c>
      <c r="P117" s="1239"/>
      <c r="Q117" s="523"/>
      <c r="R117" s="523"/>
      <c r="S117" s="523"/>
      <c r="T117" s="379"/>
    </row>
    <row r="118" spans="1:20" s="334" customFormat="1" ht="27.75" customHeight="1" x14ac:dyDescent="0.2">
      <c r="A118" s="452">
        <v>244</v>
      </c>
      <c r="B118" s="451">
        <v>12</v>
      </c>
      <c r="C118" s="1186" t="s">
        <v>741</v>
      </c>
      <c r="D118" s="1244"/>
      <c r="E118" s="465"/>
      <c r="F118" s="580"/>
      <c r="G118" s="1238">
        <f t="shared" si="9"/>
        <v>0</v>
      </c>
      <c r="H118" s="1239"/>
      <c r="I118" s="465"/>
      <c r="J118" s="580"/>
      <c r="K118" s="1238">
        <f t="shared" si="10"/>
        <v>0</v>
      </c>
      <c r="L118" s="1239"/>
      <c r="M118" s="465"/>
      <c r="N118" s="580"/>
      <c r="O118" s="1238">
        <f t="shared" si="11"/>
        <v>0</v>
      </c>
      <c r="P118" s="1239"/>
      <c r="Q118" s="523"/>
      <c r="R118" s="523"/>
      <c r="S118" s="523"/>
      <c r="T118" s="379"/>
    </row>
    <row r="119" spans="1:20" s="334" customFormat="1" ht="27.75" customHeight="1" x14ac:dyDescent="0.2">
      <c r="A119" s="452">
        <v>244</v>
      </c>
      <c r="B119" s="451">
        <v>13</v>
      </c>
      <c r="C119" s="1186" t="s">
        <v>732</v>
      </c>
      <c r="D119" s="1244"/>
      <c r="E119" s="465"/>
      <c r="F119" s="580"/>
      <c r="G119" s="1002">
        <v>0</v>
      </c>
      <c r="H119" s="1003"/>
      <c r="I119" s="465"/>
      <c r="J119" s="580"/>
      <c r="K119" s="1002">
        <v>0</v>
      </c>
      <c r="L119" s="1003"/>
      <c r="M119" s="465"/>
      <c r="N119" s="580"/>
      <c r="O119" s="1002">
        <v>0</v>
      </c>
      <c r="P119" s="1003"/>
      <c r="Q119" s="523"/>
      <c r="R119" s="523"/>
      <c r="S119" s="523"/>
      <c r="T119" s="379"/>
    </row>
    <row r="120" spans="1:20" s="334" customFormat="1" ht="27.75" customHeight="1" x14ac:dyDescent="0.2">
      <c r="A120" s="452">
        <v>244</v>
      </c>
      <c r="B120" s="451">
        <v>14</v>
      </c>
      <c r="C120" s="1186" t="s">
        <v>736</v>
      </c>
      <c r="D120" s="1244"/>
      <c r="E120" s="465"/>
      <c r="F120" s="580"/>
      <c r="G120" s="1002">
        <v>0</v>
      </c>
      <c r="H120" s="1003"/>
      <c r="I120" s="465"/>
      <c r="J120" s="580"/>
      <c r="K120" s="1002">
        <v>0</v>
      </c>
      <c r="L120" s="1003"/>
      <c r="M120" s="465"/>
      <c r="N120" s="580"/>
      <c r="O120" s="1002">
        <v>0</v>
      </c>
      <c r="P120" s="1003"/>
      <c r="Q120" s="523"/>
      <c r="R120" s="523"/>
      <c r="S120" s="523"/>
      <c r="T120" s="379"/>
    </row>
    <row r="121" spans="1:20" s="334" customFormat="1" ht="27.75" customHeight="1" x14ac:dyDescent="0.2">
      <c r="A121" s="493">
        <v>244</v>
      </c>
      <c r="B121" s="496">
        <v>15</v>
      </c>
      <c r="C121" s="1182" t="s">
        <v>740</v>
      </c>
      <c r="D121" s="1265"/>
      <c r="E121" s="469"/>
      <c r="F121" s="665"/>
      <c r="G121" s="1070">
        <f>G122-SUM(G107:H120)</f>
        <v>200000</v>
      </c>
      <c r="H121" s="1075"/>
      <c r="I121" s="469"/>
      <c r="J121" s="665"/>
      <c r="K121" s="1070">
        <f>K122-SUM(K107:L120)</f>
        <v>200000</v>
      </c>
      <c r="L121" s="1075"/>
      <c r="M121" s="469"/>
      <c r="N121" s="665"/>
      <c r="O121" s="1070">
        <f>O122-SUM(O107:P120)</f>
        <v>200000</v>
      </c>
      <c r="P121" s="1075"/>
      <c r="Q121" s="523"/>
      <c r="R121" s="523"/>
      <c r="S121" s="523"/>
      <c r="T121" s="379"/>
    </row>
    <row r="122" spans="1:20" s="524" customFormat="1" ht="27.75" customHeight="1" x14ac:dyDescent="0.2">
      <c r="A122" s="517"/>
      <c r="B122" s="522"/>
      <c r="C122" s="1249" t="s">
        <v>611</v>
      </c>
      <c r="D122" s="1250"/>
      <c r="E122" s="512" t="s">
        <v>462</v>
      </c>
      <c r="F122" s="511" t="s">
        <v>462</v>
      </c>
      <c r="G122" s="1008">
        <f>SUMIFS(Титульный!$E$13:$E$157,Титульный!$A$13:$A$157,'Расходы КФО 5'!$Q122,Титульный!$B$13:$B$157,'Расходы КФО 5'!$R122,Титульный!$D$13:$D$157,'Расходы КФО 5'!$S122)</f>
        <v>200000</v>
      </c>
      <c r="H122" s="1009">
        <f>SUMIFS(Титульный!$E$13:$E$157,Титульный!$A$13:$A$157,'Расходы КФО 5'!$Q122,Титульный!$B$13:$B$157,'Расходы КФО 5'!$R122,Титульный!$D$13:$D$157,'Расходы КФО 5'!$S122)</f>
        <v>200000</v>
      </c>
      <c r="I122" s="512" t="s">
        <v>462</v>
      </c>
      <c r="J122" s="511" t="s">
        <v>462</v>
      </c>
      <c r="K122" s="1008">
        <f>SUMIFS(Титульный!$F$13:$F$157,
Титульный!$A$13:$A$157,'Расходы КФО 5'!$Q122,
Титульный!$B$13:$B$157,'Расходы КФО 5'!$R122,
Титульный!$D$13:$D$157,'Расходы КФО 5'!$S122)</f>
        <v>200000</v>
      </c>
      <c r="L122" s="1009">
        <f>SUMIFS(Титульный!$F$13:$F$157,
Титульный!$A$13:$A$157,'Расходы КФО 5'!$Q122,
Титульный!$B$13:$B$157,'Расходы КФО 5'!$R122,
Титульный!$D$13:$D$157,'Расходы КФО 5'!$S122)</f>
        <v>200000</v>
      </c>
      <c r="M122" s="510" t="s">
        <v>462</v>
      </c>
      <c r="N122" s="511" t="s">
        <v>462</v>
      </c>
      <c r="O122" s="1008">
        <f>SUMIFS(Титульный!$G$13:$G$157,
Титульный!$A$13:$A$157,'Расходы КФО 5'!$Q122,
Титульный!$B$13:$B$157,'Расходы КФО 5'!$R122,
Титульный!$D$13:$D$157,'Расходы КФО 5'!$S122)</f>
        <v>200000</v>
      </c>
      <c r="P122" s="1009">
        <f>SUMIFS(Титульный!$G$13:$G$157,
Титульный!$A$13:$A$157,'Расходы КФО 5'!$Q122,
Титульный!$B$13:$B$157,'Расходы КФО 5'!$R122,
Титульный!$D$13:$D$157,'Расходы КФО 5'!$S122)</f>
        <v>200000</v>
      </c>
      <c r="Q122" s="523">
        <v>5</v>
      </c>
      <c r="R122" s="523">
        <v>244</v>
      </c>
      <c r="S122" s="523">
        <v>226</v>
      </c>
      <c r="T122" s="523"/>
    </row>
    <row r="123" spans="1:20" s="374" customFormat="1" ht="12" customHeight="1" x14ac:dyDescent="0.2">
      <c r="B123" s="506"/>
      <c r="Q123" s="531"/>
      <c r="R123" s="531"/>
      <c r="S123" s="531"/>
      <c r="T123" s="376"/>
    </row>
    <row r="124" spans="1:20" s="374" customFormat="1" ht="12" customHeight="1" x14ac:dyDescent="0.2">
      <c r="B124" s="506"/>
      <c r="Q124" s="531"/>
      <c r="R124" s="531"/>
      <c r="S124" s="531"/>
      <c r="T124" s="376"/>
    </row>
    <row r="125" spans="1:20" s="374" customFormat="1" ht="12" customHeight="1" x14ac:dyDescent="0.2">
      <c r="B125" s="506"/>
      <c r="Q125" s="531"/>
      <c r="R125" s="531"/>
      <c r="S125" s="531"/>
      <c r="T125" s="376"/>
    </row>
    <row r="126" spans="1:20" s="449" customFormat="1" ht="27.75" customHeight="1" x14ac:dyDescent="0.2">
      <c r="A126" s="989" t="s">
        <v>640</v>
      </c>
      <c r="B126" s="989"/>
      <c r="C126" s="989"/>
      <c r="D126" s="989"/>
      <c r="E126" s="989"/>
      <c r="F126" s="989"/>
      <c r="G126" s="989"/>
      <c r="H126" s="989"/>
      <c r="I126" s="989"/>
      <c r="J126" s="989"/>
      <c r="K126" s="989"/>
      <c r="L126" s="989"/>
      <c r="M126" s="989"/>
      <c r="N126" s="989"/>
      <c r="O126" s="989"/>
      <c r="P126" s="989"/>
      <c r="Q126" s="523"/>
      <c r="R126" s="523"/>
      <c r="S126" s="523"/>
      <c r="T126" s="448"/>
    </row>
    <row r="127" spans="1:20" s="374" customFormat="1" ht="12" customHeight="1" x14ac:dyDescent="0.2">
      <c r="B127" s="506"/>
      <c r="Q127" s="531"/>
      <c r="R127" s="531"/>
      <c r="S127" s="531"/>
      <c r="T127" s="376"/>
    </row>
    <row r="128" spans="1:20" s="374" customFormat="1" ht="15.75" customHeight="1" x14ac:dyDescent="0.2">
      <c r="A128" s="1034" t="s">
        <v>598</v>
      </c>
      <c r="B128" s="1000" t="s">
        <v>484</v>
      </c>
      <c r="C128" s="1208" t="s">
        <v>610</v>
      </c>
      <c r="D128" s="1064"/>
      <c r="E128" s="1277" t="s">
        <v>553</v>
      </c>
      <c r="F128" s="1278"/>
      <c r="G128" s="1278"/>
      <c r="H128" s="1278"/>
      <c r="I128" s="1278"/>
      <c r="J128" s="1278"/>
      <c r="K128" s="1278"/>
      <c r="L128" s="1278"/>
      <c r="M128" s="1278"/>
      <c r="N128" s="1278"/>
      <c r="O128" s="1278"/>
      <c r="P128" s="1279"/>
      <c r="Q128" s="531"/>
      <c r="R128" s="531"/>
      <c r="S128" s="531"/>
      <c r="T128" s="376"/>
    </row>
    <row r="129" spans="1:20" s="374" customFormat="1" ht="50.25" customHeight="1" x14ac:dyDescent="0.2">
      <c r="A129" s="1035"/>
      <c r="B129" s="1036"/>
      <c r="C129" s="1214"/>
      <c r="D129" s="1066"/>
      <c r="E129" s="1266" t="s">
        <v>831</v>
      </c>
      <c r="F129" s="1267"/>
      <c r="G129" s="1267"/>
      <c r="H129" s="1268"/>
      <c r="I129" s="1035" t="s">
        <v>825</v>
      </c>
      <c r="J129" s="1036"/>
      <c r="K129" s="1036"/>
      <c r="L129" s="1218"/>
      <c r="M129" s="1269" t="s">
        <v>823</v>
      </c>
      <c r="N129" s="1036"/>
      <c r="O129" s="1036"/>
      <c r="P129" s="1218"/>
      <c r="Q129" s="531"/>
      <c r="R129" s="531"/>
      <c r="S129" s="531"/>
      <c r="T129" s="376"/>
    </row>
    <row r="130" spans="1:20" s="374" customFormat="1" x14ac:dyDescent="0.2">
      <c r="A130" s="715" t="s">
        <v>6</v>
      </c>
      <c r="B130" s="720" t="s">
        <v>7</v>
      </c>
      <c r="C130" s="1004" t="s">
        <v>8</v>
      </c>
      <c r="D130" s="1005"/>
      <c r="E130" s="1270">
        <v>4</v>
      </c>
      <c r="F130" s="1271"/>
      <c r="G130" s="1271"/>
      <c r="H130" s="1248"/>
      <c r="I130" s="1017">
        <v>5</v>
      </c>
      <c r="J130" s="1004"/>
      <c r="K130" s="1004"/>
      <c r="L130" s="1005"/>
      <c r="M130" s="1052">
        <v>6</v>
      </c>
      <c r="N130" s="1004"/>
      <c r="O130" s="1004"/>
      <c r="P130" s="1005"/>
      <c r="Q130" s="531"/>
      <c r="R130" s="531"/>
      <c r="S130" s="531"/>
      <c r="T130" s="376"/>
    </row>
    <row r="131" spans="1:20" s="334" customFormat="1" ht="27.75" customHeight="1" x14ac:dyDescent="0.2">
      <c r="A131" s="486">
        <v>244</v>
      </c>
      <c r="B131" s="497" t="s">
        <v>6</v>
      </c>
      <c r="C131" s="1167" t="s">
        <v>742</v>
      </c>
      <c r="D131" s="1240"/>
      <c r="E131" s="1048"/>
      <c r="F131" s="1049"/>
      <c r="G131" s="1049"/>
      <c r="H131" s="1050"/>
      <c r="I131" s="990"/>
      <c r="J131" s="991"/>
      <c r="K131" s="991"/>
      <c r="L131" s="996"/>
      <c r="M131" s="1243"/>
      <c r="N131" s="991"/>
      <c r="O131" s="991"/>
      <c r="P131" s="996"/>
      <c r="Q131" s="523"/>
      <c r="R131" s="523"/>
      <c r="S131" s="523"/>
      <c r="T131" s="379"/>
    </row>
    <row r="132" spans="1:20" s="334" customFormat="1" ht="27.75" customHeight="1" x14ac:dyDescent="0.2">
      <c r="A132" s="452"/>
      <c r="B132" s="451"/>
      <c r="C132" s="1186"/>
      <c r="D132" s="1244"/>
      <c r="E132" s="1272"/>
      <c r="F132" s="1273"/>
      <c r="G132" s="1273"/>
      <c r="H132" s="1239"/>
      <c r="I132" s="1022"/>
      <c r="J132" s="1002"/>
      <c r="K132" s="1002"/>
      <c r="L132" s="1003"/>
      <c r="M132" s="1073"/>
      <c r="N132" s="1002"/>
      <c r="O132" s="1002"/>
      <c r="P132" s="1003"/>
      <c r="Q132" s="523"/>
      <c r="R132" s="523"/>
      <c r="S132" s="523"/>
      <c r="T132" s="379"/>
    </row>
    <row r="133" spans="1:20" s="334" customFormat="1" ht="27.75" customHeight="1" x14ac:dyDescent="0.2">
      <c r="A133" s="490"/>
      <c r="B133" s="455"/>
      <c r="C133" s="1182"/>
      <c r="D133" s="1265"/>
      <c r="E133" s="1274"/>
      <c r="F133" s="1275"/>
      <c r="G133" s="1275"/>
      <c r="H133" s="1149"/>
      <c r="I133" s="1242"/>
      <c r="J133" s="1070"/>
      <c r="K133" s="1070"/>
      <c r="L133" s="1075"/>
      <c r="M133" s="1074"/>
      <c r="N133" s="1070"/>
      <c r="O133" s="1070"/>
      <c r="P133" s="1075"/>
      <c r="Q133" s="523"/>
      <c r="R133" s="523"/>
      <c r="S133" s="523"/>
      <c r="T133" s="379"/>
    </row>
    <row r="134" spans="1:20" s="524" customFormat="1" ht="27.75" customHeight="1" x14ac:dyDescent="0.2">
      <c r="A134" s="508"/>
      <c r="B134" s="515"/>
      <c r="C134" s="1156" t="s">
        <v>611</v>
      </c>
      <c r="D134" s="1276"/>
      <c r="E134" s="1280">
        <f>SUMIFS(Титульный!$E$13:$E$157,Титульный!$A$13:$A$157,'Расходы КФО 5'!$Q134,Титульный!$B$13:$B$157,'Расходы КФО 5'!$R134,Титульный!$D$13:$D$157,'Расходы КФО 5'!$S134)</f>
        <v>0</v>
      </c>
      <c r="F134" s="1191">
        <f>SUMIFS(Титульный!$E$13:$E$157,Титульный!$A$13:$A$157,'Расходы КФО 5'!$Q134,Титульный!$B$13:$B$157,'Расходы КФО 5'!$R134,Титульный!$D$13:$D$157,'Расходы КФО 5'!$S134)</f>
        <v>0</v>
      </c>
      <c r="G134" s="1191">
        <f>SUMIFS(Титульный!$E$13:$E$157,Титульный!$A$13:$A$157,'Расходы КФО 5'!$Q134,Титульный!$B$13:$B$157,'Расходы КФО 5'!$R134,Титульный!$D$13:$D$157,'Расходы КФО 5'!$S134)</f>
        <v>0</v>
      </c>
      <c r="H134" s="1151">
        <f>SUMIFS(Титульный!$E$13:$E$157,Титульный!$A$13:$A$157,'Расходы КФО 5'!$Q134,Титульный!$B$13:$B$157,'Расходы КФО 5'!$R134,Титульный!$D$13:$D$157,'Расходы КФО 5'!$S134)</f>
        <v>0</v>
      </c>
      <c r="I134" s="1019">
        <f>SUMIFS(Титульный!$E$13:$E$157,Титульный!$A$13:$A$157,'Расходы КФО 5'!$Q134,Титульный!$B$13:$B$157,'Расходы КФО 5'!$R134,Титульный!$D$13:$D$157,'Расходы КФО 5'!$S134)</f>
        <v>0</v>
      </c>
      <c r="J134" s="1008">
        <f>SUMIFS(Титульный!$E$13:$E$157,Титульный!$A$13:$A$157,'Расходы КФО 5'!$Q134,Титульный!$B$13:$B$157,'Расходы КФО 5'!$R134,Титульный!$D$13:$D$157,'Расходы КФО 5'!$S134)</f>
        <v>0</v>
      </c>
      <c r="K134" s="1008">
        <f>SUMIFS(Титульный!$E$13:$E$157,Титульный!$A$13:$A$157,'Расходы КФО 5'!$Q134,Титульный!$B$13:$B$157,'Расходы КФО 5'!$R134,Титульный!$D$13:$D$157,'Расходы КФО 5'!$S134)</f>
        <v>0</v>
      </c>
      <c r="L134" s="1009">
        <f>SUMIFS(Титульный!$E$13:$E$157,Титульный!$A$13:$A$157,'Расходы КФО 5'!$Q134,Титульный!$B$13:$B$157,'Расходы КФО 5'!$R134,Титульный!$D$13:$D$157,'Расходы КФО 5'!$S134)</f>
        <v>0</v>
      </c>
      <c r="M134" s="1021">
        <f>SUMIFS(Титульный!$E$13:$E$157,Титульный!$A$13:$A$157,'Расходы КФО 5'!$Q134,Титульный!$B$13:$B$157,'Расходы КФО 5'!$R134,Титульный!$D$13:$D$157,'Расходы КФО 5'!$S134)</f>
        <v>0</v>
      </c>
      <c r="N134" s="1008">
        <f>SUMIFS(Титульный!$E$13:$E$157,Титульный!$A$13:$A$157,'Расходы КФО 5'!$Q134,Титульный!$B$13:$B$157,'Расходы КФО 5'!$R134,Титульный!$D$13:$D$157,'Расходы КФО 5'!$S134)</f>
        <v>0</v>
      </c>
      <c r="O134" s="1008">
        <f>SUMIFS(Титульный!$E$13:$E$157,Титульный!$A$13:$A$157,'Расходы КФО 5'!$Q134,Титульный!$B$13:$B$157,'Расходы КФО 5'!$R134,Титульный!$D$13:$D$157,'Расходы КФО 5'!$S134)</f>
        <v>0</v>
      </c>
      <c r="P134" s="1009">
        <f>SUMIFS(Титульный!$E$13:$E$157,Титульный!$A$13:$A$157,'Расходы КФО 5'!$Q134,Титульный!$B$13:$B$157,'Расходы КФО 5'!$R134,Титульный!$D$13:$D$157,'Расходы КФО 5'!$S134)</f>
        <v>0</v>
      </c>
      <c r="Q134" s="523">
        <v>5</v>
      </c>
      <c r="R134" s="523">
        <v>244</v>
      </c>
      <c r="S134" s="523">
        <v>227</v>
      </c>
      <c r="T134" s="523"/>
    </row>
    <row r="135" spans="1:20" s="374" customFormat="1" ht="12" customHeight="1" x14ac:dyDescent="0.2">
      <c r="B135" s="506"/>
      <c r="Q135" s="531"/>
      <c r="R135" s="531"/>
      <c r="S135" s="531"/>
      <c r="T135" s="376"/>
    </row>
    <row r="136" spans="1:20" s="374" customFormat="1" ht="12" customHeight="1" x14ac:dyDescent="0.2">
      <c r="B136" s="506"/>
      <c r="Q136" s="531"/>
      <c r="R136" s="531"/>
      <c r="S136" s="531"/>
      <c r="T136" s="376"/>
    </row>
    <row r="137" spans="1:20" s="374" customFormat="1" ht="12" customHeight="1" x14ac:dyDescent="0.2">
      <c r="B137" s="506"/>
      <c r="Q137" s="531"/>
      <c r="R137" s="531"/>
      <c r="S137" s="531"/>
      <c r="T137" s="376"/>
    </row>
    <row r="138" spans="1:20" s="449" customFormat="1" ht="27.75" customHeight="1" x14ac:dyDescent="0.2">
      <c r="A138" s="989" t="s">
        <v>641</v>
      </c>
      <c r="B138" s="989"/>
      <c r="C138" s="989"/>
      <c r="D138" s="989"/>
      <c r="E138" s="989"/>
      <c r="F138" s="989"/>
      <c r="G138" s="989"/>
      <c r="H138" s="989"/>
      <c r="I138" s="989"/>
      <c r="J138" s="989"/>
      <c r="K138" s="989"/>
      <c r="L138" s="989"/>
      <c r="M138" s="989"/>
      <c r="N138" s="989"/>
      <c r="O138" s="989"/>
      <c r="P138" s="989"/>
      <c r="Q138" s="523"/>
      <c r="R138" s="523"/>
      <c r="S138" s="523"/>
      <c r="T138" s="448"/>
    </row>
    <row r="139" spans="1:20" s="374" customFormat="1" ht="12" customHeight="1" x14ac:dyDescent="0.2">
      <c r="B139" s="506"/>
      <c r="Q139" s="531"/>
      <c r="R139" s="531"/>
      <c r="S139" s="531"/>
      <c r="T139" s="376"/>
    </row>
    <row r="140" spans="1:20" s="374" customFormat="1" ht="33.75" customHeight="1" x14ac:dyDescent="0.2">
      <c r="A140" s="1034" t="s">
        <v>598</v>
      </c>
      <c r="B140" s="1000" t="s">
        <v>484</v>
      </c>
      <c r="C140" s="1208" t="s">
        <v>610</v>
      </c>
      <c r="D140" s="1064"/>
      <c r="E140" s="1138" t="s">
        <v>831</v>
      </c>
      <c r="F140" s="1139"/>
      <c r="G140" s="1139"/>
      <c r="H140" s="1140"/>
      <c r="I140" s="1179" t="s">
        <v>825</v>
      </c>
      <c r="J140" s="1180"/>
      <c r="K140" s="1180"/>
      <c r="L140" s="1181"/>
      <c r="M140" s="1190" t="s">
        <v>823</v>
      </c>
      <c r="N140" s="1180"/>
      <c r="O140" s="1180"/>
      <c r="P140" s="1181"/>
      <c r="Q140" s="531"/>
      <c r="R140" s="531"/>
      <c r="S140" s="531"/>
      <c r="T140" s="376"/>
    </row>
    <row r="141" spans="1:20" s="374" customFormat="1" ht="38.25" x14ac:dyDescent="0.2">
      <c r="A141" s="1035"/>
      <c r="B141" s="1036"/>
      <c r="C141" s="1214"/>
      <c r="D141" s="1066"/>
      <c r="E141" s="399" t="s">
        <v>635</v>
      </c>
      <c r="F141" s="401" t="s">
        <v>636</v>
      </c>
      <c r="G141" s="1241" t="s">
        <v>553</v>
      </c>
      <c r="H141" s="1204"/>
      <c r="I141" s="399" t="s">
        <v>635</v>
      </c>
      <c r="J141" s="401" t="s">
        <v>636</v>
      </c>
      <c r="K141" s="1241" t="s">
        <v>553</v>
      </c>
      <c r="L141" s="1204"/>
      <c r="M141" s="399" t="s">
        <v>635</v>
      </c>
      <c r="N141" s="401" t="s">
        <v>636</v>
      </c>
      <c r="O141" s="1241" t="s">
        <v>553</v>
      </c>
      <c r="P141" s="1204"/>
      <c r="Q141" s="531"/>
      <c r="R141" s="531"/>
      <c r="S141" s="531"/>
      <c r="T141" s="376"/>
    </row>
    <row r="142" spans="1:20" s="374" customFormat="1" x14ac:dyDescent="0.2">
      <c r="A142" s="718" t="s">
        <v>6</v>
      </c>
      <c r="B142" s="442" t="s">
        <v>7</v>
      </c>
      <c r="C142" s="1004" t="s">
        <v>8</v>
      </c>
      <c r="D142" s="1005"/>
      <c r="E142" s="419">
        <v>4</v>
      </c>
      <c r="F142" s="398">
        <v>5</v>
      </c>
      <c r="G142" s="1004" t="s">
        <v>784</v>
      </c>
      <c r="H142" s="1005"/>
      <c r="I142" s="419">
        <v>7</v>
      </c>
      <c r="J142" s="398">
        <v>8</v>
      </c>
      <c r="K142" s="1004" t="s">
        <v>785</v>
      </c>
      <c r="L142" s="1005"/>
      <c r="M142" s="419" t="s">
        <v>463</v>
      </c>
      <c r="N142" s="398" t="s">
        <v>468</v>
      </c>
      <c r="O142" s="1004" t="s">
        <v>556</v>
      </c>
      <c r="P142" s="1005"/>
      <c r="Q142" s="531"/>
      <c r="R142" s="531"/>
      <c r="S142" s="531"/>
      <c r="T142" s="376"/>
    </row>
    <row r="143" spans="1:20" s="334" customFormat="1" ht="27.75" customHeight="1" x14ac:dyDescent="0.2">
      <c r="A143" s="475"/>
      <c r="B143" s="476">
        <v>1</v>
      </c>
      <c r="C143" s="1167"/>
      <c r="D143" s="1240"/>
      <c r="E143" s="465"/>
      <c r="F143" s="580"/>
      <c r="G143" s="1002"/>
      <c r="H143" s="1003"/>
      <c r="I143" s="465"/>
      <c r="J143" s="580"/>
      <c r="K143" s="1002"/>
      <c r="L143" s="1003"/>
      <c r="M143" s="465"/>
      <c r="N143" s="580"/>
      <c r="O143" s="1002"/>
      <c r="P143" s="1003"/>
      <c r="Q143" s="523"/>
      <c r="R143" s="523"/>
      <c r="S143" s="523"/>
      <c r="T143" s="379"/>
    </row>
    <row r="144" spans="1:20" s="334" customFormat="1" ht="27.75" customHeight="1" x14ac:dyDescent="0.2">
      <c r="A144" s="452"/>
      <c r="B144" s="451">
        <v>2</v>
      </c>
      <c r="C144" s="1186"/>
      <c r="D144" s="1244"/>
      <c r="E144" s="465"/>
      <c r="F144" s="580"/>
      <c r="G144" s="1002"/>
      <c r="H144" s="1003"/>
      <c r="I144" s="465"/>
      <c r="J144" s="580"/>
      <c r="K144" s="1002"/>
      <c r="L144" s="1003"/>
      <c r="M144" s="465"/>
      <c r="N144" s="580"/>
      <c r="O144" s="1002"/>
      <c r="P144" s="1003"/>
      <c r="Q144" s="523"/>
      <c r="R144" s="523"/>
      <c r="S144" s="523"/>
      <c r="T144" s="379"/>
    </row>
    <row r="145" spans="1:20" s="334" customFormat="1" ht="27.75" customHeight="1" x14ac:dyDescent="0.2">
      <c r="A145" s="481"/>
      <c r="B145" s="496"/>
      <c r="C145" s="1182"/>
      <c r="D145" s="1265"/>
      <c r="E145" s="469"/>
      <c r="F145" s="665"/>
      <c r="G145" s="1070"/>
      <c r="H145" s="1075"/>
      <c r="I145" s="469"/>
      <c r="J145" s="665"/>
      <c r="K145" s="1070"/>
      <c r="L145" s="1075"/>
      <c r="M145" s="469"/>
      <c r="N145" s="665"/>
      <c r="O145" s="1070"/>
      <c r="P145" s="1075"/>
      <c r="Q145" s="523"/>
      <c r="R145" s="523"/>
      <c r="S145" s="523"/>
      <c r="T145" s="379"/>
    </row>
    <row r="146" spans="1:20" s="524" customFormat="1" ht="27.75" customHeight="1" x14ac:dyDescent="0.2">
      <c r="A146" s="517"/>
      <c r="B146" s="522"/>
      <c r="C146" s="1249" t="s">
        <v>611</v>
      </c>
      <c r="D146" s="1250"/>
      <c r="E146" s="512" t="s">
        <v>462</v>
      </c>
      <c r="F146" s="511" t="s">
        <v>462</v>
      </c>
      <c r="G146" s="1008">
        <f>SUMIFS(Титульный!$E$13:$E$157,Титульный!$A$13:$A$157,'Расходы КФО 5'!$Q146,Титульный!$B$13:$B$157,'Расходы КФО 5'!$R146,Титульный!$D$13:$D$157,'Расходы КФО 5'!$S146)</f>
        <v>0</v>
      </c>
      <c r="H146" s="1009">
        <f>SUMIFS(Титульный!$E$13:$E$157,Титульный!$A$13:$A$157,'Расходы КФО 5'!$Q146,Титульный!$B$13:$B$157,'Расходы КФО 5'!$R146,Титульный!$D$13:$D$157,'Расходы КФО 5'!$S146)</f>
        <v>0</v>
      </c>
      <c r="I146" s="512" t="s">
        <v>462</v>
      </c>
      <c r="J146" s="511" t="s">
        <v>462</v>
      </c>
      <c r="K146" s="1008">
        <f>SUMIFS(Титульный!$F$13:$F$157,
Титульный!$A$13:$A$157,'Расходы КФО 5'!$Q146,
Титульный!$B$13:$B$157,'Расходы КФО 5'!$R146,
Титульный!$D$13:$D$157,'Расходы КФО 5'!$S146)</f>
        <v>0</v>
      </c>
      <c r="L146" s="1009">
        <f>SUMIFS(Титульный!$F$13:$F$157,
Титульный!$A$13:$A$157,'Расходы КФО 5'!$Q146,
Титульный!$B$13:$B$157,'Расходы КФО 5'!$R146,
Титульный!$D$13:$D$157,'Расходы КФО 5'!$S146)</f>
        <v>0</v>
      </c>
      <c r="M146" s="512" t="s">
        <v>462</v>
      </c>
      <c r="N146" s="511" t="s">
        <v>462</v>
      </c>
      <c r="O146" s="1008">
        <f>SUMIFS(Титульный!$G$13:$G$157,
Титульный!$A$13:$A$157,'Расходы КФО 5'!$Q146,
Титульный!$B$13:$B$157,'Расходы КФО 5'!$R146,
Титульный!$D$13:$D$157,'Расходы КФО 5'!$S146)</f>
        <v>0</v>
      </c>
      <c r="P146" s="1009">
        <f>SUMIFS(Титульный!$G$13:$G$157,
Титульный!$A$13:$A$157,'Расходы КФО 5'!$Q146,
Титульный!$B$13:$B$157,'Расходы КФО 5'!$R146,
Титульный!$D$13:$D$157,'Расходы КФО 5'!$S146)</f>
        <v>0</v>
      </c>
      <c r="Q146" s="523">
        <v>5</v>
      </c>
      <c r="R146" s="523">
        <v>244</v>
      </c>
      <c r="S146" s="523">
        <v>228</v>
      </c>
      <c r="T146" s="523"/>
    </row>
    <row r="147" spans="1:20" s="374" customFormat="1" ht="12" customHeight="1" x14ac:dyDescent="0.2">
      <c r="B147" s="506"/>
      <c r="Q147" s="531"/>
      <c r="R147" s="531"/>
      <c r="S147" s="531"/>
      <c r="T147" s="376"/>
    </row>
    <row r="148" spans="1:20" s="374" customFormat="1" ht="12" customHeight="1" x14ac:dyDescent="0.2">
      <c r="B148" s="506"/>
      <c r="Q148" s="531"/>
      <c r="R148" s="531"/>
      <c r="S148" s="531"/>
      <c r="T148" s="376"/>
    </row>
    <row r="149" spans="1:20" s="374" customFormat="1" ht="12" customHeight="1" x14ac:dyDescent="0.2">
      <c r="B149" s="506"/>
      <c r="Q149" s="531"/>
      <c r="R149" s="531"/>
      <c r="S149" s="531"/>
      <c r="T149" s="376"/>
    </row>
    <row r="150" spans="1:20" s="449" customFormat="1" ht="27.75" customHeight="1" x14ac:dyDescent="0.2">
      <c r="A150" s="989" t="s">
        <v>642</v>
      </c>
      <c r="B150" s="989"/>
      <c r="C150" s="989"/>
      <c r="D150" s="989"/>
      <c r="E150" s="989"/>
      <c r="F150" s="989"/>
      <c r="G150" s="989"/>
      <c r="H150" s="989"/>
      <c r="I150" s="989"/>
      <c r="J150" s="989"/>
      <c r="K150" s="989"/>
      <c r="L150" s="989"/>
      <c r="M150" s="989"/>
      <c r="N150" s="989"/>
      <c r="O150" s="989"/>
      <c r="P150" s="989"/>
      <c r="Q150" s="523"/>
      <c r="R150" s="523"/>
      <c r="S150" s="523"/>
      <c r="T150" s="448"/>
    </row>
    <row r="151" spans="1:20" s="426" customFormat="1" ht="12" customHeight="1" x14ac:dyDescent="0.2">
      <c r="B151" s="506"/>
      <c r="Q151" s="531"/>
      <c r="R151" s="531"/>
      <c r="S151" s="531"/>
      <c r="T151" s="376"/>
    </row>
    <row r="152" spans="1:20" s="426" customFormat="1" ht="33" customHeight="1" x14ac:dyDescent="0.2">
      <c r="A152" s="1034" t="s">
        <v>598</v>
      </c>
      <c r="B152" s="1000" t="s">
        <v>484</v>
      </c>
      <c r="C152" s="1208" t="s">
        <v>610</v>
      </c>
      <c r="D152" s="1064"/>
      <c r="E152" s="1138" t="s">
        <v>831</v>
      </c>
      <c r="F152" s="1139"/>
      <c r="G152" s="1139"/>
      <c r="H152" s="1140"/>
      <c r="I152" s="1179" t="s">
        <v>825</v>
      </c>
      <c r="J152" s="1180"/>
      <c r="K152" s="1180"/>
      <c r="L152" s="1181"/>
      <c r="M152" s="1190" t="s">
        <v>823</v>
      </c>
      <c r="N152" s="1180"/>
      <c r="O152" s="1180"/>
      <c r="P152" s="1181"/>
      <c r="Q152" s="531"/>
      <c r="R152" s="531"/>
      <c r="S152" s="531"/>
      <c r="T152" s="376"/>
    </row>
    <row r="153" spans="1:20" s="426" customFormat="1" ht="38.25" x14ac:dyDescent="0.2">
      <c r="A153" s="1035"/>
      <c r="B153" s="1036"/>
      <c r="C153" s="1214"/>
      <c r="D153" s="1066"/>
      <c r="E153" s="399" t="s">
        <v>797</v>
      </c>
      <c r="F153" s="433" t="s">
        <v>798</v>
      </c>
      <c r="G153" s="1241" t="s">
        <v>553</v>
      </c>
      <c r="H153" s="1204"/>
      <c r="I153" s="399" t="s">
        <v>797</v>
      </c>
      <c r="J153" s="433" t="s">
        <v>798</v>
      </c>
      <c r="K153" s="1241" t="s">
        <v>553</v>
      </c>
      <c r="L153" s="1204"/>
      <c r="M153" s="399" t="s">
        <v>797</v>
      </c>
      <c r="N153" s="433" t="s">
        <v>798</v>
      </c>
      <c r="O153" s="1241" t="s">
        <v>553</v>
      </c>
      <c r="P153" s="1204"/>
      <c r="Q153" s="531"/>
      <c r="R153" s="531"/>
      <c r="S153" s="531"/>
      <c r="T153" s="376"/>
    </row>
    <row r="154" spans="1:20" s="426" customFormat="1" x14ac:dyDescent="0.2">
      <c r="A154" s="387" t="s">
        <v>6</v>
      </c>
      <c r="B154" s="732" t="s">
        <v>7</v>
      </c>
      <c r="C154" s="1004" t="s">
        <v>8</v>
      </c>
      <c r="D154" s="1005"/>
      <c r="E154" s="419">
        <v>4</v>
      </c>
      <c r="F154" s="398">
        <v>5</v>
      </c>
      <c r="G154" s="1004" t="s">
        <v>784</v>
      </c>
      <c r="H154" s="1005"/>
      <c r="I154" s="419">
        <v>7</v>
      </c>
      <c r="J154" s="398">
        <v>8</v>
      </c>
      <c r="K154" s="1004" t="s">
        <v>785</v>
      </c>
      <c r="L154" s="1005"/>
      <c r="M154" s="419" t="s">
        <v>463</v>
      </c>
      <c r="N154" s="398" t="s">
        <v>468</v>
      </c>
      <c r="O154" s="1004" t="s">
        <v>556</v>
      </c>
      <c r="P154" s="1005"/>
      <c r="Q154" s="531"/>
      <c r="R154" s="531"/>
      <c r="S154" s="531"/>
      <c r="T154" s="376"/>
    </row>
    <row r="155" spans="1:20" s="334" customFormat="1" ht="27.75" customHeight="1" x14ac:dyDescent="0.2">
      <c r="A155" s="475">
        <v>244</v>
      </c>
      <c r="B155" s="476">
        <v>1</v>
      </c>
      <c r="C155" s="1167" t="s">
        <v>743</v>
      </c>
      <c r="D155" s="1240"/>
      <c r="E155" s="465"/>
      <c r="F155" s="580"/>
      <c r="G155" s="1147">
        <f>E155*F155</f>
        <v>0</v>
      </c>
      <c r="H155" s="1050"/>
      <c r="I155" s="465"/>
      <c r="J155" s="580"/>
      <c r="K155" s="1002">
        <f>I155*J155</f>
        <v>0</v>
      </c>
      <c r="L155" s="1003"/>
      <c r="M155" s="465"/>
      <c r="N155" s="580"/>
      <c r="O155" s="1002">
        <f>M155*N155</f>
        <v>0</v>
      </c>
      <c r="P155" s="1003"/>
      <c r="Q155" s="523"/>
      <c r="R155" s="523"/>
      <c r="S155" s="523"/>
      <c r="T155" s="379"/>
    </row>
    <row r="156" spans="1:20" s="334" customFormat="1" ht="27.75" customHeight="1" x14ac:dyDescent="0.2">
      <c r="A156" s="452">
        <v>244</v>
      </c>
      <c r="B156" s="451">
        <v>2</v>
      </c>
      <c r="C156" s="1167" t="s">
        <v>744</v>
      </c>
      <c r="D156" s="1240"/>
      <c r="E156" s="465"/>
      <c r="F156" s="580"/>
      <c r="G156" s="1238">
        <f t="shared" ref="G156:G162" si="12">E156*F156</f>
        <v>0</v>
      </c>
      <c r="H156" s="1239"/>
      <c r="I156" s="465"/>
      <c r="J156" s="580"/>
      <c r="K156" s="1238">
        <f t="shared" ref="K156:K162" si="13">I156*J156</f>
        <v>0</v>
      </c>
      <c r="L156" s="1239"/>
      <c r="M156" s="465"/>
      <c r="N156" s="580"/>
      <c r="O156" s="1238">
        <f t="shared" ref="O156:O162" si="14">M156*N156</f>
        <v>0</v>
      </c>
      <c r="P156" s="1239"/>
      <c r="Q156" s="523"/>
      <c r="R156" s="523"/>
      <c r="S156" s="523"/>
      <c r="T156" s="379"/>
    </row>
    <row r="157" spans="1:20" s="334" customFormat="1" ht="27.75" customHeight="1" x14ac:dyDescent="0.2">
      <c r="A157" s="452">
        <v>244</v>
      </c>
      <c r="B157" s="451">
        <v>3</v>
      </c>
      <c r="C157" s="1167" t="s">
        <v>745</v>
      </c>
      <c r="D157" s="1240"/>
      <c r="E157" s="465"/>
      <c r="F157" s="580"/>
      <c r="G157" s="1238">
        <f t="shared" si="12"/>
        <v>0</v>
      </c>
      <c r="H157" s="1239"/>
      <c r="I157" s="465"/>
      <c r="J157" s="580"/>
      <c r="K157" s="1238">
        <f t="shared" si="13"/>
        <v>0</v>
      </c>
      <c r="L157" s="1239"/>
      <c r="M157" s="465"/>
      <c r="N157" s="580"/>
      <c r="O157" s="1238">
        <f t="shared" si="14"/>
        <v>0</v>
      </c>
      <c r="P157" s="1239"/>
      <c r="Q157" s="523"/>
      <c r="R157" s="523"/>
      <c r="S157" s="523"/>
      <c r="T157" s="379"/>
    </row>
    <row r="158" spans="1:20" s="334" customFormat="1" ht="27.75" customHeight="1" x14ac:dyDescent="0.2">
      <c r="A158" s="452">
        <v>244</v>
      </c>
      <c r="B158" s="451">
        <v>4</v>
      </c>
      <c r="C158" s="1167" t="s">
        <v>746</v>
      </c>
      <c r="D158" s="1240"/>
      <c r="E158" s="465"/>
      <c r="F158" s="580"/>
      <c r="G158" s="1238">
        <f t="shared" si="12"/>
        <v>0</v>
      </c>
      <c r="H158" s="1239"/>
      <c r="I158" s="465"/>
      <c r="J158" s="580"/>
      <c r="K158" s="1238">
        <f t="shared" si="13"/>
        <v>0</v>
      </c>
      <c r="L158" s="1239"/>
      <c r="M158" s="465"/>
      <c r="N158" s="580"/>
      <c r="O158" s="1238">
        <f t="shared" si="14"/>
        <v>0</v>
      </c>
      <c r="P158" s="1239"/>
      <c r="Q158" s="523"/>
      <c r="R158" s="523"/>
      <c r="S158" s="523"/>
      <c r="T158" s="379"/>
    </row>
    <row r="159" spans="1:20" s="334" customFormat="1" ht="27.75" customHeight="1" x14ac:dyDescent="0.2">
      <c r="A159" s="452">
        <v>244</v>
      </c>
      <c r="B159" s="451">
        <v>5</v>
      </c>
      <c r="C159" s="1167" t="s">
        <v>747</v>
      </c>
      <c r="D159" s="1240"/>
      <c r="E159" s="465"/>
      <c r="F159" s="580"/>
      <c r="G159" s="1238">
        <f t="shared" si="12"/>
        <v>0</v>
      </c>
      <c r="H159" s="1239"/>
      <c r="I159" s="465"/>
      <c r="J159" s="580"/>
      <c r="K159" s="1238">
        <f t="shared" si="13"/>
        <v>0</v>
      </c>
      <c r="L159" s="1239"/>
      <c r="M159" s="465"/>
      <c r="N159" s="580"/>
      <c r="O159" s="1238">
        <f t="shared" si="14"/>
        <v>0</v>
      </c>
      <c r="P159" s="1239"/>
      <c r="Q159" s="523"/>
      <c r="R159" s="523"/>
      <c r="S159" s="523"/>
      <c r="T159" s="379"/>
    </row>
    <row r="160" spans="1:20" s="334" customFormat="1" ht="27.75" customHeight="1" x14ac:dyDescent="0.2">
      <c r="A160" s="452">
        <v>244</v>
      </c>
      <c r="B160" s="451">
        <v>6</v>
      </c>
      <c r="C160" s="1167" t="s">
        <v>748</v>
      </c>
      <c r="D160" s="1240"/>
      <c r="E160" s="465"/>
      <c r="F160" s="580"/>
      <c r="G160" s="1238">
        <f t="shared" si="12"/>
        <v>0</v>
      </c>
      <c r="H160" s="1239"/>
      <c r="I160" s="465"/>
      <c r="J160" s="580"/>
      <c r="K160" s="1238">
        <f t="shared" si="13"/>
        <v>0</v>
      </c>
      <c r="L160" s="1239"/>
      <c r="M160" s="465"/>
      <c r="N160" s="580"/>
      <c r="O160" s="1238">
        <f t="shared" si="14"/>
        <v>0</v>
      </c>
      <c r="P160" s="1239"/>
      <c r="Q160" s="523"/>
      <c r="R160" s="523"/>
      <c r="S160" s="523"/>
      <c r="T160" s="379"/>
    </row>
    <row r="161" spans="1:20" s="334" customFormat="1" ht="27.75" customHeight="1" x14ac:dyDescent="0.2">
      <c r="A161" s="452">
        <v>244</v>
      </c>
      <c r="B161" s="451">
        <v>7</v>
      </c>
      <c r="C161" s="1167" t="s">
        <v>749</v>
      </c>
      <c r="D161" s="1240"/>
      <c r="E161" s="465"/>
      <c r="F161" s="580"/>
      <c r="G161" s="1238">
        <f t="shared" si="12"/>
        <v>0</v>
      </c>
      <c r="H161" s="1239"/>
      <c r="I161" s="465"/>
      <c r="J161" s="580"/>
      <c r="K161" s="1238">
        <f t="shared" si="13"/>
        <v>0</v>
      </c>
      <c r="L161" s="1239"/>
      <c r="M161" s="465"/>
      <c r="N161" s="580"/>
      <c r="O161" s="1238">
        <f t="shared" si="14"/>
        <v>0</v>
      </c>
      <c r="P161" s="1239"/>
      <c r="Q161" s="523"/>
      <c r="R161" s="523"/>
      <c r="S161" s="523"/>
      <c r="T161" s="379"/>
    </row>
    <row r="162" spans="1:20" s="334" customFormat="1" ht="27.75" customHeight="1" x14ac:dyDescent="0.2">
      <c r="A162" s="452">
        <v>244</v>
      </c>
      <c r="B162" s="451">
        <v>8</v>
      </c>
      <c r="C162" s="1167" t="s">
        <v>750</v>
      </c>
      <c r="D162" s="1240"/>
      <c r="E162" s="465"/>
      <c r="F162" s="580"/>
      <c r="G162" s="1238">
        <f t="shared" si="12"/>
        <v>0</v>
      </c>
      <c r="H162" s="1239"/>
      <c r="I162" s="465"/>
      <c r="J162" s="580"/>
      <c r="K162" s="1238">
        <f t="shared" si="13"/>
        <v>0</v>
      </c>
      <c r="L162" s="1239"/>
      <c r="M162" s="465"/>
      <c r="N162" s="580"/>
      <c r="O162" s="1238">
        <f t="shared" si="14"/>
        <v>0</v>
      </c>
      <c r="P162" s="1239"/>
      <c r="Q162" s="523"/>
      <c r="R162" s="523"/>
      <c r="S162" s="523"/>
      <c r="T162" s="379"/>
    </row>
    <row r="163" spans="1:20" s="334" customFormat="1" ht="27.75" customHeight="1" x14ac:dyDescent="0.2">
      <c r="A163" s="493">
        <v>244</v>
      </c>
      <c r="B163" s="496">
        <v>9</v>
      </c>
      <c r="C163" s="1167" t="s">
        <v>751</v>
      </c>
      <c r="D163" s="1240"/>
      <c r="E163" s="465"/>
      <c r="F163" s="580"/>
      <c r="G163" s="1148">
        <f>G164-SUM(G155:H162)</f>
        <v>0</v>
      </c>
      <c r="H163" s="1149"/>
      <c r="I163" s="465"/>
      <c r="J163" s="580"/>
      <c r="K163" s="1002">
        <f>K164-SUM(K155:L162)</f>
        <v>0</v>
      </c>
      <c r="L163" s="1003"/>
      <c r="M163" s="465"/>
      <c r="N163" s="580"/>
      <c r="O163" s="1002">
        <f>O164-SUM(O155:P162)</f>
        <v>0</v>
      </c>
      <c r="P163" s="1003"/>
      <c r="Q163" s="523"/>
      <c r="R163" s="523"/>
      <c r="S163" s="523"/>
      <c r="T163" s="379"/>
    </row>
    <row r="164" spans="1:20" s="524" customFormat="1" ht="27.75" customHeight="1" x14ac:dyDescent="0.2">
      <c r="A164" s="508"/>
      <c r="B164" s="515"/>
      <c r="C164" s="1249" t="s">
        <v>611</v>
      </c>
      <c r="D164" s="1250"/>
      <c r="E164" s="512" t="s">
        <v>462</v>
      </c>
      <c r="F164" s="511" t="s">
        <v>462</v>
      </c>
      <c r="G164" s="1008">
        <f>SUMIFS(Титульный!$E$13:$E$157,Титульный!$A$13:$A$157,'Расходы КФО 5'!$Q164,Титульный!$B$13:$B$157,'Расходы КФО 5'!$R164,Титульный!$D$13:$D$157,'Расходы КФО 5'!$S164)</f>
        <v>0</v>
      </c>
      <c r="H164" s="1009">
        <f>SUMIFS(Титульный!$E$13:$E$157,Титульный!$A$13:$A$157,'Расходы КФО 2'!$Q164,Титульный!$B$13:$B$157,'Расходы КФО 2'!$R164,Титульный!$D$13:$D$157,'Расходы КФО 2'!$S164)</f>
        <v>760000</v>
      </c>
      <c r="I164" s="512" t="s">
        <v>462</v>
      </c>
      <c r="J164" s="511" t="s">
        <v>462</v>
      </c>
      <c r="K164" s="1008">
        <f>SUMIFS(Титульный!$F$13:$F$157,
Титульный!$A$13:$A$157,'Расходы КФО 5'!$Q164,
Титульный!$B$13:$B$157,'Расходы КФО 5'!$R164,
Титульный!$D$13:$D$157,'Расходы КФО 5'!$S164)</f>
        <v>0</v>
      </c>
      <c r="L164" s="1009">
        <f>SUMIFS(Титульный!$F$13:$F$157,
Титульный!$A$13:$A$157,'Расходы КФО 2'!$Q164,
Титульный!$B$13:$B$157,'Расходы КФО 2'!$R164,
Титульный!$D$13:$D$157,'Расходы КФО 2'!$S164)</f>
        <v>760000</v>
      </c>
      <c r="M164" s="512" t="s">
        <v>462</v>
      </c>
      <c r="N164" s="511" t="s">
        <v>462</v>
      </c>
      <c r="O164" s="1008">
        <f>SUMIFS(Титульный!$G$13:$G$157,
Титульный!$A$13:$A$157,'Расходы КФО 5'!$Q164,
Титульный!$B$13:$B$157,'Расходы КФО 5'!$R164,
Титульный!$D$13:$D$157,'Расходы КФО 5'!$S164)</f>
        <v>0</v>
      </c>
      <c r="P164" s="1009">
        <f>SUMIFS(Титульный!$G$13:$G$157,
Титульный!$A$13:$A$157,'Расходы КФО 2'!$Q164,
Титульный!$B$13:$B$157,'Расходы КФО 2'!$R164,
Титульный!$D$13:$D$157,'Расходы КФО 2'!$S164)</f>
        <v>760000</v>
      </c>
      <c r="Q164" s="523">
        <v>5</v>
      </c>
      <c r="R164" s="523">
        <v>244</v>
      </c>
      <c r="S164" s="523">
        <v>310</v>
      </c>
      <c r="T164" s="523"/>
    </row>
    <row r="165" spans="1:20" s="426" customFormat="1" ht="12" customHeight="1" x14ac:dyDescent="0.2">
      <c r="B165" s="506"/>
      <c r="Q165" s="531"/>
      <c r="R165" s="531"/>
      <c r="S165" s="531"/>
      <c r="T165" s="376"/>
    </row>
    <row r="166" spans="1:20" s="426" customFormat="1" ht="12" customHeight="1" x14ac:dyDescent="0.2">
      <c r="B166" s="506"/>
      <c r="Q166" s="531"/>
      <c r="R166" s="531"/>
      <c r="S166" s="531"/>
      <c r="T166" s="376"/>
    </row>
    <row r="167" spans="1:20" s="426" customFormat="1" ht="12" customHeight="1" x14ac:dyDescent="0.2">
      <c r="B167" s="506"/>
      <c r="Q167" s="531"/>
      <c r="R167" s="531"/>
      <c r="S167" s="531"/>
      <c r="T167" s="376"/>
    </row>
    <row r="168" spans="1:20" s="449" customFormat="1" ht="27.75" customHeight="1" x14ac:dyDescent="0.2">
      <c r="A168" s="989" t="s">
        <v>643</v>
      </c>
      <c r="B168" s="989"/>
      <c r="C168" s="989"/>
      <c r="D168" s="989"/>
      <c r="E168" s="989"/>
      <c r="F168" s="989"/>
      <c r="G168" s="989"/>
      <c r="H168" s="989"/>
      <c r="I168" s="989"/>
      <c r="J168" s="989"/>
      <c r="K168" s="989"/>
      <c r="L168" s="989"/>
      <c r="M168" s="989"/>
      <c r="N168" s="989"/>
      <c r="O168" s="989"/>
      <c r="P168" s="989"/>
      <c r="Q168" s="523"/>
      <c r="R168" s="523"/>
      <c r="S168" s="523"/>
      <c r="T168" s="448"/>
    </row>
    <row r="169" spans="1:20" s="426" customFormat="1" ht="12" customHeight="1" x14ac:dyDescent="0.2">
      <c r="B169" s="506"/>
      <c r="Q169" s="531"/>
      <c r="R169" s="531"/>
      <c r="S169" s="531"/>
      <c r="T169" s="376"/>
    </row>
    <row r="170" spans="1:20" s="426" customFormat="1" ht="33" customHeight="1" x14ac:dyDescent="0.2">
      <c r="A170" s="1034" t="s">
        <v>598</v>
      </c>
      <c r="B170" s="1000" t="s">
        <v>484</v>
      </c>
      <c r="C170" s="1208" t="s">
        <v>0</v>
      </c>
      <c r="D170" s="1064" t="s">
        <v>229</v>
      </c>
      <c r="E170" s="1138" t="s">
        <v>831</v>
      </c>
      <c r="F170" s="1139"/>
      <c r="G170" s="1139"/>
      <c r="H170" s="1140"/>
      <c r="I170" s="1179" t="s">
        <v>825</v>
      </c>
      <c r="J170" s="1180"/>
      <c r="K170" s="1180"/>
      <c r="L170" s="1181"/>
      <c r="M170" s="1190" t="s">
        <v>823</v>
      </c>
      <c r="N170" s="1180"/>
      <c r="O170" s="1180"/>
      <c r="P170" s="1181"/>
      <c r="Q170" s="531"/>
      <c r="R170" s="531"/>
      <c r="S170" s="531"/>
      <c r="T170" s="376"/>
    </row>
    <row r="171" spans="1:20" s="426" customFormat="1" ht="25.5" x14ac:dyDescent="0.2">
      <c r="A171" s="1035"/>
      <c r="B171" s="1036"/>
      <c r="C171" s="1214"/>
      <c r="D171" s="1066"/>
      <c r="E171" s="399" t="s">
        <v>797</v>
      </c>
      <c r="F171" s="433" t="s">
        <v>644</v>
      </c>
      <c r="G171" s="1241" t="s">
        <v>553</v>
      </c>
      <c r="H171" s="1204"/>
      <c r="I171" s="399" t="s">
        <v>797</v>
      </c>
      <c r="J171" s="433" t="s">
        <v>644</v>
      </c>
      <c r="K171" s="1241" t="s">
        <v>553</v>
      </c>
      <c r="L171" s="1204"/>
      <c r="M171" s="399" t="s">
        <v>797</v>
      </c>
      <c r="N171" s="433" t="s">
        <v>644</v>
      </c>
      <c r="O171" s="1241" t="s">
        <v>553</v>
      </c>
      <c r="P171" s="1204"/>
      <c r="Q171" s="531"/>
      <c r="R171" s="531"/>
      <c r="S171" s="531"/>
      <c r="T171" s="376"/>
    </row>
    <row r="172" spans="1:20" s="426" customFormat="1" x14ac:dyDescent="0.2">
      <c r="A172" s="387" t="s">
        <v>6</v>
      </c>
      <c r="B172" s="719" t="s">
        <v>7</v>
      </c>
      <c r="C172" s="388" t="s">
        <v>8</v>
      </c>
      <c r="D172" s="390" t="s">
        <v>9</v>
      </c>
      <c r="E172" s="419">
        <v>4</v>
      </c>
      <c r="F172" s="398">
        <v>5</v>
      </c>
      <c r="G172" s="1004" t="s">
        <v>784</v>
      </c>
      <c r="H172" s="1005"/>
      <c r="I172" s="419">
        <v>7</v>
      </c>
      <c r="J172" s="398">
        <v>8</v>
      </c>
      <c r="K172" s="1004" t="s">
        <v>785</v>
      </c>
      <c r="L172" s="1005"/>
      <c r="M172" s="419" t="s">
        <v>463</v>
      </c>
      <c r="N172" s="398" t="s">
        <v>468</v>
      </c>
      <c r="O172" s="1004" t="s">
        <v>556</v>
      </c>
      <c r="P172" s="1005"/>
      <c r="Q172" s="531"/>
      <c r="R172" s="531"/>
      <c r="S172" s="531"/>
      <c r="T172" s="376"/>
    </row>
    <row r="173" spans="1:20" s="334" customFormat="1" ht="27.75" customHeight="1" x14ac:dyDescent="0.2">
      <c r="A173" s="444">
        <v>244</v>
      </c>
      <c r="B173" s="504">
        <v>1</v>
      </c>
      <c r="C173" s="525" t="s">
        <v>752</v>
      </c>
      <c r="D173" s="478" t="s">
        <v>783</v>
      </c>
      <c r="E173" s="465">
        <f>ROUNDUP(G173/300,0)</f>
        <v>0</v>
      </c>
      <c r="F173" s="580">
        <f>IFERROR(ROUND(G173/E173,2),0)</f>
        <v>0</v>
      </c>
      <c r="G173" s="1147">
        <f>SUMIFS(Титульный!$E$13:$E$157,Титульный!$A$13:$A$157,'Расходы КФО 5'!$Q173,Титульный!$B$13:$B$157,'Расходы КФО 5'!$R173,Титульный!$D$13:$D$157,'Расходы КФО 5'!$S173)</f>
        <v>0</v>
      </c>
      <c r="H173" s="1050"/>
      <c r="I173" s="465">
        <f>ROUNDUP(K173/300,0)</f>
        <v>0</v>
      </c>
      <c r="J173" s="580">
        <f>IFERROR(ROUND(K173/I173,2),0)</f>
        <v>0</v>
      </c>
      <c r="K173" s="1147">
        <f>SUMIFS(Титульный!$F$13:$F$157,
Титульный!$A$13:$A$157,'Расходы КФО 5'!$Q173,
Титульный!$B$13:$B$157,'Расходы КФО 5'!$R173,
Титульный!$D$13:$D$157,'Расходы КФО 5'!$S173)</f>
        <v>0</v>
      </c>
      <c r="L173" s="1050"/>
      <c r="M173" s="465">
        <f>ROUNDUP(O173/300,0)</f>
        <v>0</v>
      </c>
      <c r="N173" s="580">
        <f>IFERROR(ROUND(O173/M173,2),0)</f>
        <v>0</v>
      </c>
      <c r="O173" s="1147">
        <f>SUMIFS(Титульный!$G$13:$G$157,
Титульный!$A$13:$A$157,'Расходы КФО 5'!$Q173,
Титульный!$B$13:$B$157,'Расходы КФО 5'!$R173,
Титульный!$D$13:$D$157,'Расходы КФО 5'!$S173)</f>
        <v>0</v>
      </c>
      <c r="P173" s="1050"/>
      <c r="Q173" s="523">
        <v>5</v>
      </c>
      <c r="R173" s="523">
        <v>244</v>
      </c>
      <c r="S173" s="523">
        <v>341</v>
      </c>
      <c r="T173" s="379"/>
    </row>
    <row r="174" spans="1:20" s="334" customFormat="1" ht="27.75" customHeight="1" x14ac:dyDescent="0.2">
      <c r="A174" s="445">
        <v>244</v>
      </c>
      <c r="B174" s="450">
        <v>2</v>
      </c>
      <c r="C174" s="489" t="s">
        <v>753</v>
      </c>
      <c r="D174" s="453" t="s">
        <v>783</v>
      </c>
      <c r="E174" s="465">
        <f t="shared" ref="E174" si="15">ROUNDUP(G174/165,0)</f>
        <v>0</v>
      </c>
      <c r="F174" s="580">
        <f t="shared" ref="F174:F180" si="16">IFERROR(ROUND(G174/E174,2),0)</f>
        <v>0</v>
      </c>
      <c r="G174" s="1238">
        <f>SUMIFS(Титульный!$E$13:$E$157,Титульный!$A$13:$A$157,'Расходы КФО 5'!$Q174,Титульный!$B$13:$B$157,'Расходы КФО 5'!$R174,Титульный!$D$13:$D$157,'Расходы КФО 5'!$S174)</f>
        <v>0</v>
      </c>
      <c r="H174" s="1239"/>
      <c r="I174" s="465">
        <f t="shared" ref="I174" si="17">ROUNDUP(K174/165,0)</f>
        <v>0</v>
      </c>
      <c r="J174" s="580">
        <f t="shared" ref="J174:J180" si="18">IFERROR(ROUND(K174/I174,2),0)</f>
        <v>0</v>
      </c>
      <c r="K174" s="1238">
        <f>SUMIFS(Титульный!$F$13:$F$157,
Титульный!$A$13:$A$157,'Расходы КФО 5'!$Q174,
Титульный!$B$13:$B$157,'Расходы КФО 5'!$R174,
Титульный!$D$13:$D$157,'Расходы КФО 5'!$S174)</f>
        <v>0</v>
      </c>
      <c r="L174" s="1239"/>
      <c r="M174" s="465">
        <f t="shared" ref="M174" si="19">ROUNDUP(O174/165,0)</f>
        <v>0</v>
      </c>
      <c r="N174" s="580">
        <f t="shared" ref="N174:N180" si="20">IFERROR(ROUND(O174/M174,2),0)</f>
        <v>0</v>
      </c>
      <c r="O174" s="1238">
        <f>SUMIFS(Титульный!$G$13:$G$157,
Титульный!$A$13:$A$157,'Расходы КФО 5'!$Q174,
Титульный!$B$13:$B$157,'Расходы КФО 5'!$R174,
Титульный!$D$13:$D$157,'Расходы КФО 5'!$S174)</f>
        <v>0</v>
      </c>
      <c r="P174" s="1239"/>
      <c r="Q174" s="523">
        <v>5</v>
      </c>
      <c r="R174" s="523">
        <v>244</v>
      </c>
      <c r="S174" s="523">
        <v>342</v>
      </c>
      <c r="T174" s="379"/>
    </row>
    <row r="175" spans="1:20" s="334" customFormat="1" ht="27.75" customHeight="1" x14ac:dyDescent="0.2">
      <c r="A175" s="445">
        <v>244</v>
      </c>
      <c r="B175" s="450">
        <v>3</v>
      </c>
      <c r="C175" s="489" t="s">
        <v>274</v>
      </c>
      <c r="D175" s="453" t="s">
        <v>792</v>
      </c>
      <c r="E175" s="465">
        <f>ROUNDUP(G175/50,0)</f>
        <v>0</v>
      </c>
      <c r="F175" s="580">
        <f t="shared" si="16"/>
        <v>0</v>
      </c>
      <c r="G175" s="1238">
        <f>SUMIFS(Титульный!$E$13:$E$157,Титульный!$A$13:$A$157,'Расходы КФО 5'!$Q175,Титульный!$B$13:$B$157,'Расходы КФО 5'!$R175,Титульный!$D$13:$D$157,'Расходы КФО 5'!$S175)</f>
        <v>0</v>
      </c>
      <c r="H175" s="1239"/>
      <c r="I175" s="465">
        <f>ROUNDUP(K175/50,0)</f>
        <v>0</v>
      </c>
      <c r="J175" s="580">
        <f t="shared" si="18"/>
        <v>0</v>
      </c>
      <c r="K175" s="1238">
        <f>SUMIFS(Титульный!$F$13:$F$157,
Титульный!$A$13:$A$157,'Расходы КФО 5'!$Q175,
Титульный!$B$13:$B$157,'Расходы КФО 5'!$R175,
Титульный!$D$13:$D$157,'Расходы КФО 5'!$S175)</f>
        <v>0</v>
      </c>
      <c r="L175" s="1239"/>
      <c r="M175" s="465">
        <f>ROUNDUP(O175/50,0)</f>
        <v>0</v>
      </c>
      <c r="N175" s="580">
        <f t="shared" si="20"/>
        <v>0</v>
      </c>
      <c r="O175" s="1238">
        <f>SUMIFS(Титульный!$G$13:$G$157,
Титульный!$A$13:$A$157,'Расходы КФО 5'!$Q175,
Титульный!$B$13:$B$157,'Расходы КФО 5'!$R175,
Титульный!$D$13:$D$157,'Расходы КФО 5'!$S175)</f>
        <v>0</v>
      </c>
      <c r="P175" s="1239"/>
      <c r="Q175" s="523">
        <v>5</v>
      </c>
      <c r="R175" s="523">
        <v>244</v>
      </c>
      <c r="S175" s="523">
        <v>343</v>
      </c>
      <c r="T175" s="379"/>
    </row>
    <row r="176" spans="1:20" s="334" customFormat="1" ht="27.75" customHeight="1" x14ac:dyDescent="0.2">
      <c r="A176" s="445">
        <v>244</v>
      </c>
      <c r="B176" s="450">
        <v>4</v>
      </c>
      <c r="C176" s="489" t="s">
        <v>275</v>
      </c>
      <c r="D176" s="453" t="s">
        <v>783</v>
      </c>
      <c r="E176" s="465">
        <f>ROUNDUP(G176/300,0)</f>
        <v>0</v>
      </c>
      <c r="F176" s="580">
        <f t="shared" si="16"/>
        <v>0</v>
      </c>
      <c r="G176" s="1238">
        <f>SUMIFS(Титульный!$E$13:$E$157,Титульный!$A$13:$A$157,'Расходы КФО 5'!$Q176,Титульный!$B$13:$B$157,'Расходы КФО 5'!$R176,Титульный!$D$13:$D$157,'Расходы КФО 5'!$S176)</f>
        <v>0</v>
      </c>
      <c r="H176" s="1239"/>
      <c r="I176" s="465">
        <f>ROUNDUP(K176/300,0)</f>
        <v>250</v>
      </c>
      <c r="J176" s="580">
        <f t="shared" si="18"/>
        <v>300</v>
      </c>
      <c r="K176" s="1238">
        <f>SUMIFS(Титульный!$F$13:$F$157,
Титульный!$A$13:$A$157,'Расходы КФО 5'!$Q176,
Титульный!$B$13:$B$157,'Расходы КФО 5'!$R176,
Титульный!$D$13:$D$157,'Расходы КФО 5'!$S176)</f>
        <v>75000</v>
      </c>
      <c r="L176" s="1239"/>
      <c r="M176" s="465">
        <f>ROUNDUP(O176/300,0)</f>
        <v>250</v>
      </c>
      <c r="N176" s="580">
        <f t="shared" si="20"/>
        <v>300</v>
      </c>
      <c r="O176" s="1238">
        <f>SUMIFS(Титульный!$G$13:$G$157,
Титульный!$A$13:$A$157,'Расходы КФО 5'!$Q176,
Титульный!$B$13:$B$157,'Расходы КФО 5'!$R176,
Титульный!$D$13:$D$157,'Расходы КФО 5'!$S176)</f>
        <v>75000</v>
      </c>
      <c r="P176" s="1239"/>
      <c r="Q176" s="523">
        <v>5</v>
      </c>
      <c r="R176" s="523">
        <v>244</v>
      </c>
      <c r="S176" s="523">
        <v>344</v>
      </c>
      <c r="T176" s="379"/>
    </row>
    <row r="177" spans="1:20" s="334" customFormat="1" ht="27.75" customHeight="1" x14ac:dyDescent="0.2">
      <c r="A177" s="445">
        <v>244</v>
      </c>
      <c r="B177" s="450">
        <v>5</v>
      </c>
      <c r="C177" s="489" t="s">
        <v>754</v>
      </c>
      <c r="D177" s="453" t="s">
        <v>783</v>
      </c>
      <c r="E177" s="465">
        <f>ROUNDUP(G177/600,0)</f>
        <v>0</v>
      </c>
      <c r="F177" s="580">
        <f t="shared" si="16"/>
        <v>0</v>
      </c>
      <c r="G177" s="1238">
        <f>SUMIFS(Титульный!$E$13:$E$157,Титульный!$A$13:$A$157,'Расходы КФО 5'!$Q177,Титульный!$B$13:$B$157,'Расходы КФО 5'!$R177,Титульный!$D$13:$D$157,'Расходы КФО 5'!$S177)</f>
        <v>0</v>
      </c>
      <c r="H177" s="1239"/>
      <c r="I177" s="465">
        <f>ROUNDUP(K177/600,0)</f>
        <v>0</v>
      </c>
      <c r="J177" s="580">
        <f t="shared" si="18"/>
        <v>0</v>
      </c>
      <c r="K177" s="1238">
        <f>SUMIFS(Титульный!$F$13:$F$157,
Титульный!$A$13:$A$157,'Расходы КФО 5'!$Q177,
Титульный!$B$13:$B$157,'Расходы КФО 5'!$R177,
Титульный!$D$13:$D$157,'Расходы КФО 5'!$S177)</f>
        <v>0</v>
      </c>
      <c r="L177" s="1239"/>
      <c r="M177" s="465">
        <f>ROUNDUP(O177/600,0)</f>
        <v>0</v>
      </c>
      <c r="N177" s="580">
        <f t="shared" si="20"/>
        <v>0</v>
      </c>
      <c r="O177" s="1238">
        <f>SUMIFS(Титульный!$G$13:$G$157,
Титульный!$A$13:$A$157,'Расходы КФО 5'!$Q177,
Титульный!$B$13:$B$157,'Расходы КФО 5'!$R177,
Титульный!$D$13:$D$157,'Расходы КФО 5'!$S177)</f>
        <v>0</v>
      </c>
      <c r="P177" s="1239"/>
      <c r="Q177" s="523">
        <v>5</v>
      </c>
      <c r="R177" s="523">
        <v>244</v>
      </c>
      <c r="S177" s="523">
        <v>345</v>
      </c>
      <c r="T177" s="379"/>
    </row>
    <row r="178" spans="1:20" s="334" customFormat="1" ht="27.75" customHeight="1" x14ac:dyDescent="0.2">
      <c r="A178" s="445">
        <v>244</v>
      </c>
      <c r="B178" s="450">
        <v>6</v>
      </c>
      <c r="C178" s="489" t="s">
        <v>755</v>
      </c>
      <c r="D178" s="453" t="s">
        <v>783</v>
      </c>
      <c r="E178" s="465">
        <f>ROUNDUP(G178/110,0)</f>
        <v>0</v>
      </c>
      <c r="F178" s="580">
        <f t="shared" si="16"/>
        <v>0</v>
      </c>
      <c r="G178" s="1238">
        <f>SUMIFS(Титульный!$E$13:$E$157,Титульный!$A$13:$A$157,'Расходы КФО 5'!$Q178,Титульный!$B$13:$B$157,'Расходы КФО 5'!$R178,Титульный!$D$13:$D$157,'Расходы КФО 5'!$S178)</f>
        <v>0</v>
      </c>
      <c r="H178" s="1239"/>
      <c r="I178" s="465">
        <f>ROUNDUP(K178/110,0)</f>
        <v>0</v>
      </c>
      <c r="J178" s="580">
        <f t="shared" si="18"/>
        <v>0</v>
      </c>
      <c r="K178" s="1238">
        <f>SUMIFS(Титульный!$F$13:$F$157,
Титульный!$A$13:$A$157,'Расходы КФО 5'!$Q178,
Титульный!$B$13:$B$157,'Расходы КФО 5'!$R178,
Титульный!$D$13:$D$157,'Расходы КФО 5'!$S178)</f>
        <v>0</v>
      </c>
      <c r="L178" s="1239"/>
      <c r="M178" s="465">
        <f>ROUNDUP(O178/110,0)</f>
        <v>0</v>
      </c>
      <c r="N178" s="580">
        <f t="shared" si="20"/>
        <v>0</v>
      </c>
      <c r="O178" s="1238">
        <f>SUMIFS(Титульный!$G$13:$G$157,
Титульный!$A$13:$A$157,'Расходы КФО 5'!$Q178,
Титульный!$B$13:$B$157,'Расходы КФО 5'!$R178,
Титульный!$D$13:$D$157,'Расходы КФО 5'!$S178)</f>
        <v>0</v>
      </c>
      <c r="P178" s="1239"/>
      <c r="Q178" s="523">
        <v>5</v>
      </c>
      <c r="R178" s="523">
        <v>244</v>
      </c>
      <c r="S178" s="523">
        <v>346</v>
      </c>
      <c r="T178" s="379"/>
    </row>
    <row r="179" spans="1:20" s="334" customFormat="1" ht="27.75" customHeight="1" x14ac:dyDescent="0.2">
      <c r="A179" s="445">
        <v>244</v>
      </c>
      <c r="B179" s="450">
        <v>7</v>
      </c>
      <c r="C179" s="489" t="s">
        <v>278</v>
      </c>
      <c r="D179" s="453" t="s">
        <v>783</v>
      </c>
      <c r="E179" s="465">
        <f>ROUNDUP(G179/2000,0)</f>
        <v>0</v>
      </c>
      <c r="F179" s="580">
        <f t="shared" si="16"/>
        <v>0</v>
      </c>
      <c r="G179" s="1238">
        <f>SUMIFS(Титульный!$E$13:$E$157,Титульный!$A$13:$A$157,'Расходы КФО 5'!$Q179,Титульный!$B$13:$B$157,'Расходы КФО 5'!$R179,Титульный!$D$13:$D$157,'Расходы КФО 5'!$S179)</f>
        <v>0</v>
      </c>
      <c r="H179" s="1239"/>
      <c r="I179" s="465">
        <f>ROUNDUP(K179/2000,0)</f>
        <v>0</v>
      </c>
      <c r="J179" s="580">
        <f t="shared" si="18"/>
        <v>0</v>
      </c>
      <c r="K179" s="1238">
        <f>SUMIFS(Титульный!$F$13:$F$157,
Титульный!$A$13:$A$157,'Расходы КФО 5'!$Q179,
Титульный!$B$13:$B$157,'Расходы КФО 5'!$R179,
Титульный!$D$13:$D$157,'Расходы КФО 5'!$S179)</f>
        <v>0</v>
      </c>
      <c r="L179" s="1239"/>
      <c r="M179" s="465">
        <f>ROUNDUP(O179/2000,0)</f>
        <v>0</v>
      </c>
      <c r="N179" s="580">
        <f t="shared" si="20"/>
        <v>0</v>
      </c>
      <c r="O179" s="1238">
        <f>SUMIFS(Титульный!$G$13:$G$157,
Титульный!$A$13:$A$157,'Расходы КФО 5'!$Q179,
Титульный!$B$13:$B$157,'Расходы КФО 5'!$R179,
Титульный!$D$13:$D$157,'Расходы КФО 5'!$S179)</f>
        <v>0</v>
      </c>
      <c r="P179" s="1239"/>
      <c r="Q179" s="523">
        <v>5</v>
      </c>
      <c r="R179" s="523">
        <v>244</v>
      </c>
      <c r="S179" s="523">
        <v>347</v>
      </c>
      <c r="T179" s="379"/>
    </row>
    <row r="180" spans="1:20" s="334" customFormat="1" ht="27.75" customHeight="1" x14ac:dyDescent="0.2">
      <c r="A180" s="445">
        <v>244</v>
      </c>
      <c r="B180" s="450">
        <v>8</v>
      </c>
      <c r="C180" s="489" t="s">
        <v>279</v>
      </c>
      <c r="D180" s="453" t="s">
        <v>783</v>
      </c>
      <c r="E180" s="465">
        <f>ROUNDUP(G180/150,0)</f>
        <v>2000</v>
      </c>
      <c r="F180" s="580">
        <f t="shared" si="16"/>
        <v>150</v>
      </c>
      <c r="G180" s="1148">
        <f>SUMIFS(Титульный!$E$13:$E$157,Титульный!$A$13:$A$157,'Расходы КФО 5'!$Q180,Титульный!$B$13:$B$157,'Расходы КФО 5'!$R180,Титульный!$D$13:$D$157,'Расходы КФО 5'!$S180)</f>
        <v>300000</v>
      </c>
      <c r="H180" s="1149"/>
      <c r="I180" s="465">
        <f>ROUNDUP(K180/150,0)</f>
        <v>2000</v>
      </c>
      <c r="J180" s="580">
        <f t="shared" si="18"/>
        <v>150</v>
      </c>
      <c r="K180" s="1148">
        <f>SUMIFS(Титульный!$F$13:$F$157,
Титульный!$A$13:$A$157,'Расходы КФО 5'!$Q180,
Титульный!$B$13:$B$157,'Расходы КФО 5'!$R180,
Титульный!$D$13:$D$157,'Расходы КФО 5'!$S180)</f>
        <v>300000</v>
      </c>
      <c r="L180" s="1149"/>
      <c r="M180" s="465">
        <f>ROUNDUP(O180/150,0)</f>
        <v>2000</v>
      </c>
      <c r="N180" s="580">
        <f t="shared" si="20"/>
        <v>150</v>
      </c>
      <c r="O180" s="1148">
        <f>SUMIFS(Титульный!$G$13:$G$157,
Титульный!$A$13:$A$157,'Расходы КФО 5'!$Q180,
Титульный!$B$13:$B$157,'Расходы КФО 5'!$R180,
Титульный!$D$13:$D$157,'Расходы КФО 5'!$S180)</f>
        <v>300000</v>
      </c>
      <c r="P180" s="1149"/>
      <c r="Q180" s="523">
        <v>5</v>
      </c>
      <c r="R180" s="523">
        <v>244</v>
      </c>
      <c r="S180" s="523">
        <v>349</v>
      </c>
      <c r="T180" s="379"/>
    </row>
    <row r="181" spans="1:20" s="524" customFormat="1" ht="27.75" customHeight="1" x14ac:dyDescent="0.2">
      <c r="A181" s="508"/>
      <c r="B181" s="509"/>
      <c r="C181" s="485" t="s">
        <v>611</v>
      </c>
      <c r="D181" s="516" t="s">
        <v>462</v>
      </c>
      <c r="E181" s="512" t="s">
        <v>462</v>
      </c>
      <c r="F181" s="511" t="s">
        <v>462</v>
      </c>
      <c r="G181" s="1008">
        <f>SUM(G173:H180)</f>
        <v>300000</v>
      </c>
      <c r="H181" s="1009">
        <f>SUMIFS(Титульный!$E$13:$E$157,Титульный!$A$13:$A$157,'Расходы КФО 2'!$Q191,Титульный!$B$13:$B$157,'Расходы КФО 2'!$R191,Титульный!$D$13:$D$157,'Расходы КФО 2'!$S191)</f>
        <v>0</v>
      </c>
      <c r="I181" s="512" t="s">
        <v>462</v>
      </c>
      <c r="J181" s="511" t="s">
        <v>462</v>
      </c>
      <c r="K181" s="1008">
        <f>SUM(K173:L180)</f>
        <v>375000</v>
      </c>
      <c r="L181" s="1009">
        <f>SUMIFS(Титульный!$E$13:$E$157,Титульный!$A$13:$A$157,'Расходы КФО 2'!$Q191,Титульный!$B$13:$B$157,'Расходы КФО 2'!$R191,Титульный!$D$13:$D$157,'Расходы КФО 2'!$S191)</f>
        <v>0</v>
      </c>
      <c r="M181" s="512" t="s">
        <v>462</v>
      </c>
      <c r="N181" s="511" t="s">
        <v>462</v>
      </c>
      <c r="O181" s="1008">
        <f>SUM(O173:P180)</f>
        <v>375000</v>
      </c>
      <c r="P181" s="1009">
        <f>SUMIFS(Титульный!$E$13:$E$157,Титульный!$A$13:$A$157,'Расходы КФО 2'!$Q191,Титульный!$B$13:$B$157,'Расходы КФО 2'!$R191,Титульный!$D$13:$D$157,'Расходы КФО 2'!$S191)</f>
        <v>0</v>
      </c>
      <c r="Q181" s="523"/>
      <c r="R181" s="523"/>
      <c r="S181" s="523"/>
      <c r="T181" s="523"/>
    </row>
    <row r="182" spans="1:20" s="374" customFormat="1" x14ac:dyDescent="0.2">
      <c r="B182" s="506"/>
      <c r="Q182" s="531"/>
      <c r="R182" s="531"/>
      <c r="S182" s="531"/>
      <c r="T182" s="376"/>
    </row>
  </sheetData>
  <mergeCells count="509">
    <mergeCell ref="K176:L176"/>
    <mergeCell ref="K177:L177"/>
    <mergeCell ref="K178:L178"/>
    <mergeCell ref="K179:L179"/>
    <mergeCell ref="O176:P176"/>
    <mergeCell ref="O177:P177"/>
    <mergeCell ref="O178:P178"/>
    <mergeCell ref="O179:P179"/>
    <mergeCell ref="G181:H181"/>
    <mergeCell ref="K181:L181"/>
    <mergeCell ref="O181:P181"/>
    <mergeCell ref="G180:H180"/>
    <mergeCell ref="K180:L180"/>
    <mergeCell ref="O180:P180"/>
    <mergeCell ref="G178:H178"/>
    <mergeCell ref="G179:H179"/>
    <mergeCell ref="G176:H176"/>
    <mergeCell ref="G177:H177"/>
    <mergeCell ref="G174:H174"/>
    <mergeCell ref="K174:L174"/>
    <mergeCell ref="O174:P174"/>
    <mergeCell ref="G175:H175"/>
    <mergeCell ref="K175:L175"/>
    <mergeCell ref="O175:P175"/>
    <mergeCell ref="O171:P171"/>
    <mergeCell ref="G172:H172"/>
    <mergeCell ref="K172:L172"/>
    <mergeCell ref="O172:P172"/>
    <mergeCell ref="G173:H173"/>
    <mergeCell ref="K173:L173"/>
    <mergeCell ref="O173:P173"/>
    <mergeCell ref="A168:P168"/>
    <mergeCell ref="A170:A171"/>
    <mergeCell ref="B170:B171"/>
    <mergeCell ref="C170:C171"/>
    <mergeCell ref="D170:D171"/>
    <mergeCell ref="E170:H170"/>
    <mergeCell ref="I170:L170"/>
    <mergeCell ref="M170:P170"/>
    <mergeCell ref="G171:H171"/>
    <mergeCell ref="K171:L171"/>
    <mergeCell ref="C163:D163"/>
    <mergeCell ref="G163:H163"/>
    <mergeCell ref="K163:L163"/>
    <mergeCell ref="O163:P163"/>
    <mergeCell ref="C164:D164"/>
    <mergeCell ref="G164:H164"/>
    <mergeCell ref="K164:L164"/>
    <mergeCell ref="O164:P164"/>
    <mergeCell ref="C161:D161"/>
    <mergeCell ref="G161:H161"/>
    <mergeCell ref="K161:L161"/>
    <mergeCell ref="O161:P161"/>
    <mergeCell ref="C162:D162"/>
    <mergeCell ref="G162:H162"/>
    <mergeCell ref="K162:L162"/>
    <mergeCell ref="O162:P162"/>
    <mergeCell ref="C159:D159"/>
    <mergeCell ref="G159:H159"/>
    <mergeCell ref="K159:L159"/>
    <mergeCell ref="O159:P159"/>
    <mergeCell ref="C160:D160"/>
    <mergeCell ref="G160:H160"/>
    <mergeCell ref="K160:L160"/>
    <mergeCell ref="O160:P160"/>
    <mergeCell ref="C157:D157"/>
    <mergeCell ref="G157:H157"/>
    <mergeCell ref="K157:L157"/>
    <mergeCell ref="O157:P157"/>
    <mergeCell ref="C158:D158"/>
    <mergeCell ref="G158:H158"/>
    <mergeCell ref="K158:L158"/>
    <mergeCell ref="O158:P158"/>
    <mergeCell ref="C155:D155"/>
    <mergeCell ref="G155:H155"/>
    <mergeCell ref="K155:L155"/>
    <mergeCell ref="O155:P155"/>
    <mergeCell ref="C156:D156"/>
    <mergeCell ref="G156:H156"/>
    <mergeCell ref="K156:L156"/>
    <mergeCell ref="O156:P156"/>
    <mergeCell ref="M152:P152"/>
    <mergeCell ref="G153:H153"/>
    <mergeCell ref="K153:L153"/>
    <mergeCell ref="O153:P153"/>
    <mergeCell ref="C154:D154"/>
    <mergeCell ref="G154:H154"/>
    <mergeCell ref="K154:L154"/>
    <mergeCell ref="O154:P154"/>
    <mergeCell ref="C146:D146"/>
    <mergeCell ref="G146:H146"/>
    <mergeCell ref="K146:L146"/>
    <mergeCell ref="O146:P146"/>
    <mergeCell ref="A150:P150"/>
    <mergeCell ref="A152:A153"/>
    <mergeCell ref="B152:B153"/>
    <mergeCell ref="C152:D153"/>
    <mergeCell ref="E152:H152"/>
    <mergeCell ref="I152:L152"/>
    <mergeCell ref="C144:D144"/>
    <mergeCell ref="G144:H144"/>
    <mergeCell ref="K144:L144"/>
    <mergeCell ref="O144:P144"/>
    <mergeCell ref="C145:D145"/>
    <mergeCell ref="G145:H145"/>
    <mergeCell ref="K145:L145"/>
    <mergeCell ref="O145:P145"/>
    <mergeCell ref="C142:D142"/>
    <mergeCell ref="G142:H142"/>
    <mergeCell ref="K142:L142"/>
    <mergeCell ref="O142:P142"/>
    <mergeCell ref="C143:D143"/>
    <mergeCell ref="G143:H143"/>
    <mergeCell ref="K143:L143"/>
    <mergeCell ref="O143:P143"/>
    <mergeCell ref="A138:P138"/>
    <mergeCell ref="A140:A141"/>
    <mergeCell ref="B140:B141"/>
    <mergeCell ref="C140:D141"/>
    <mergeCell ref="E140:H140"/>
    <mergeCell ref="I140:L140"/>
    <mergeCell ref="M140:P140"/>
    <mergeCell ref="G141:H141"/>
    <mergeCell ref="K141:L141"/>
    <mergeCell ref="O141:P141"/>
    <mergeCell ref="C133:D133"/>
    <mergeCell ref="E133:H133"/>
    <mergeCell ref="I133:L133"/>
    <mergeCell ref="M133:P133"/>
    <mergeCell ref="C134:D134"/>
    <mergeCell ref="E134:H134"/>
    <mergeCell ref="I134:L134"/>
    <mergeCell ref="M134:P134"/>
    <mergeCell ref="C131:D131"/>
    <mergeCell ref="E131:H131"/>
    <mergeCell ref="I131:L131"/>
    <mergeCell ref="M131:P131"/>
    <mergeCell ref="C132:D132"/>
    <mergeCell ref="E132:H132"/>
    <mergeCell ref="I132:L132"/>
    <mergeCell ref="M132:P132"/>
    <mergeCell ref="I129:L129"/>
    <mergeCell ref="M129:P129"/>
    <mergeCell ref="C130:D130"/>
    <mergeCell ref="E130:H130"/>
    <mergeCell ref="I130:L130"/>
    <mergeCell ref="M130:P130"/>
    <mergeCell ref="C122:D122"/>
    <mergeCell ref="G122:H122"/>
    <mergeCell ref="K122:L122"/>
    <mergeCell ref="O122:P122"/>
    <mergeCell ref="A126:P126"/>
    <mergeCell ref="A128:A129"/>
    <mergeCell ref="B128:B129"/>
    <mergeCell ref="C128:D129"/>
    <mergeCell ref="E128:P128"/>
    <mergeCell ref="E129:H129"/>
    <mergeCell ref="C120:D120"/>
    <mergeCell ref="G120:H120"/>
    <mergeCell ref="K120:L120"/>
    <mergeCell ref="O120:P120"/>
    <mergeCell ref="C121:D121"/>
    <mergeCell ref="G121:H121"/>
    <mergeCell ref="K121:L121"/>
    <mergeCell ref="O121:P121"/>
    <mergeCell ref="C118:D118"/>
    <mergeCell ref="G118:H118"/>
    <mergeCell ref="K118:L118"/>
    <mergeCell ref="O118:P118"/>
    <mergeCell ref="C119:D119"/>
    <mergeCell ref="G119:H119"/>
    <mergeCell ref="K119:L119"/>
    <mergeCell ref="O119:P119"/>
    <mergeCell ref="C116:D116"/>
    <mergeCell ref="G116:H116"/>
    <mergeCell ref="K116:L116"/>
    <mergeCell ref="O116:P116"/>
    <mergeCell ref="C117:D117"/>
    <mergeCell ref="G117:H117"/>
    <mergeCell ref="K117:L117"/>
    <mergeCell ref="O117:P117"/>
    <mergeCell ref="C114:D114"/>
    <mergeCell ref="G114:H114"/>
    <mergeCell ref="K114:L114"/>
    <mergeCell ref="O114:P114"/>
    <mergeCell ref="C115:D115"/>
    <mergeCell ref="G115:H115"/>
    <mergeCell ref="K115:L115"/>
    <mergeCell ref="O115:P115"/>
    <mergeCell ref="C112:D112"/>
    <mergeCell ref="G112:H112"/>
    <mergeCell ref="K112:L112"/>
    <mergeCell ref="O112:P112"/>
    <mergeCell ref="C113:D113"/>
    <mergeCell ref="G113:H113"/>
    <mergeCell ref="K113:L113"/>
    <mergeCell ref="O113:P113"/>
    <mergeCell ref="C110:D110"/>
    <mergeCell ref="G110:H110"/>
    <mergeCell ref="K110:L110"/>
    <mergeCell ref="O110:P110"/>
    <mergeCell ref="C111:D111"/>
    <mergeCell ref="G111:H111"/>
    <mergeCell ref="K111:L111"/>
    <mergeCell ref="O111:P111"/>
    <mergeCell ref="C108:D108"/>
    <mergeCell ref="G108:H108"/>
    <mergeCell ref="K108:L108"/>
    <mergeCell ref="O108:P108"/>
    <mergeCell ref="C109:D109"/>
    <mergeCell ref="G109:H109"/>
    <mergeCell ref="K109:L109"/>
    <mergeCell ref="O109:P109"/>
    <mergeCell ref="C106:D106"/>
    <mergeCell ref="G106:H106"/>
    <mergeCell ref="K106:L106"/>
    <mergeCell ref="O106:P106"/>
    <mergeCell ref="C107:D107"/>
    <mergeCell ref="G107:H107"/>
    <mergeCell ref="K107:L107"/>
    <mergeCell ref="O107:P107"/>
    <mergeCell ref="A102:P102"/>
    <mergeCell ref="A104:A105"/>
    <mergeCell ref="B104:B105"/>
    <mergeCell ref="C104:D105"/>
    <mergeCell ref="E104:H104"/>
    <mergeCell ref="I104:L104"/>
    <mergeCell ref="M104:P104"/>
    <mergeCell ref="G105:H105"/>
    <mergeCell ref="K105:L105"/>
    <mergeCell ref="O105:P105"/>
    <mergeCell ref="C97:D97"/>
    <mergeCell ref="G97:H97"/>
    <mergeCell ref="K97:L97"/>
    <mergeCell ref="O97:P97"/>
    <mergeCell ref="C98:D98"/>
    <mergeCell ref="G98:H98"/>
    <mergeCell ref="K98:L98"/>
    <mergeCell ref="O98:P98"/>
    <mergeCell ref="C95:D95"/>
    <mergeCell ref="G95:H95"/>
    <mergeCell ref="K95:L95"/>
    <mergeCell ref="O95:P95"/>
    <mergeCell ref="C96:D96"/>
    <mergeCell ref="G96:H96"/>
    <mergeCell ref="K96:L96"/>
    <mergeCell ref="O96:P96"/>
    <mergeCell ref="C93:D93"/>
    <mergeCell ref="G93:H93"/>
    <mergeCell ref="K93:L93"/>
    <mergeCell ref="O93:P93"/>
    <mergeCell ref="C94:D94"/>
    <mergeCell ref="G94:H94"/>
    <mergeCell ref="K94:L94"/>
    <mergeCell ref="O94:P94"/>
    <mergeCell ref="C91:D91"/>
    <mergeCell ref="G91:H91"/>
    <mergeCell ref="K91:L91"/>
    <mergeCell ref="O91:P91"/>
    <mergeCell ref="C92:D92"/>
    <mergeCell ref="G92:H92"/>
    <mergeCell ref="K92:L92"/>
    <mergeCell ref="O92:P92"/>
    <mergeCell ref="C89:D89"/>
    <mergeCell ref="G89:H89"/>
    <mergeCell ref="K89:L89"/>
    <mergeCell ref="O89:P89"/>
    <mergeCell ref="C90:D90"/>
    <mergeCell ref="G90:H90"/>
    <mergeCell ref="K90:L90"/>
    <mergeCell ref="O90:P90"/>
    <mergeCell ref="C87:D87"/>
    <mergeCell ref="G87:H87"/>
    <mergeCell ref="K87:L87"/>
    <mergeCell ref="O87:P87"/>
    <mergeCell ref="C88:D88"/>
    <mergeCell ref="G88:H88"/>
    <mergeCell ref="K88:L88"/>
    <mergeCell ref="O88:P88"/>
    <mergeCell ref="C85:D85"/>
    <mergeCell ref="G85:H85"/>
    <mergeCell ref="K85:L85"/>
    <mergeCell ref="O85:P85"/>
    <mergeCell ref="C86:D86"/>
    <mergeCell ref="G86:H86"/>
    <mergeCell ref="K86:L86"/>
    <mergeCell ref="O86:P86"/>
    <mergeCell ref="C83:D83"/>
    <mergeCell ref="G83:H83"/>
    <mergeCell ref="K83:L83"/>
    <mergeCell ref="O83:P83"/>
    <mergeCell ref="C84:D84"/>
    <mergeCell ref="G84:H84"/>
    <mergeCell ref="K84:L84"/>
    <mergeCell ref="O84:P84"/>
    <mergeCell ref="C81:D81"/>
    <mergeCell ref="G81:H81"/>
    <mergeCell ref="K81:L81"/>
    <mergeCell ref="O81:P81"/>
    <mergeCell ref="C82:D82"/>
    <mergeCell ref="G82:H82"/>
    <mergeCell ref="K82:L82"/>
    <mergeCell ref="O82:P82"/>
    <mergeCell ref="C79:D79"/>
    <mergeCell ref="G79:H79"/>
    <mergeCell ref="K79:L79"/>
    <mergeCell ref="O79:P79"/>
    <mergeCell ref="C80:D80"/>
    <mergeCell ref="G80:H80"/>
    <mergeCell ref="K80:L80"/>
    <mergeCell ref="O80:P80"/>
    <mergeCell ref="C77:D77"/>
    <mergeCell ref="G77:H77"/>
    <mergeCell ref="K77:L77"/>
    <mergeCell ref="O77:P77"/>
    <mergeCell ref="C78:D78"/>
    <mergeCell ref="G78:H78"/>
    <mergeCell ref="K78:L78"/>
    <mergeCell ref="O78:P78"/>
    <mergeCell ref="C75:D75"/>
    <mergeCell ref="G75:H75"/>
    <mergeCell ref="K75:L75"/>
    <mergeCell ref="O75:P75"/>
    <mergeCell ref="C76:D76"/>
    <mergeCell ref="G76:H76"/>
    <mergeCell ref="K76:L76"/>
    <mergeCell ref="O76:P76"/>
    <mergeCell ref="C73:D73"/>
    <mergeCell ref="G73:H73"/>
    <mergeCell ref="K73:L73"/>
    <mergeCell ref="O73:P73"/>
    <mergeCell ref="C74:D74"/>
    <mergeCell ref="G74:H74"/>
    <mergeCell ref="K74:L74"/>
    <mergeCell ref="O74:P74"/>
    <mergeCell ref="C71:D71"/>
    <mergeCell ref="G71:H71"/>
    <mergeCell ref="K71:L71"/>
    <mergeCell ref="O71:P71"/>
    <mergeCell ref="C72:D72"/>
    <mergeCell ref="G72:H72"/>
    <mergeCell ref="K72:L72"/>
    <mergeCell ref="O72:P72"/>
    <mergeCell ref="C69:D69"/>
    <mergeCell ref="G69:H69"/>
    <mergeCell ref="K69:L69"/>
    <mergeCell ref="O69:P69"/>
    <mergeCell ref="C70:D70"/>
    <mergeCell ref="G70:H70"/>
    <mergeCell ref="K70:L70"/>
    <mergeCell ref="O70:P70"/>
    <mergeCell ref="C67:D67"/>
    <mergeCell ref="G67:H67"/>
    <mergeCell ref="K67:L67"/>
    <mergeCell ref="O67:P67"/>
    <mergeCell ref="C68:D68"/>
    <mergeCell ref="G68:H68"/>
    <mergeCell ref="K68:L68"/>
    <mergeCell ref="O68:P68"/>
    <mergeCell ref="C65:D65"/>
    <mergeCell ref="G65:H65"/>
    <mergeCell ref="K65:L65"/>
    <mergeCell ref="O65:P65"/>
    <mergeCell ref="C66:D66"/>
    <mergeCell ref="G66:H66"/>
    <mergeCell ref="K66:L66"/>
    <mergeCell ref="O66:P66"/>
    <mergeCell ref="C63:D63"/>
    <mergeCell ref="G63:H63"/>
    <mergeCell ref="K63:L63"/>
    <mergeCell ref="O63:P63"/>
    <mergeCell ref="C64:D64"/>
    <mergeCell ref="G64:H64"/>
    <mergeCell ref="K64:L64"/>
    <mergeCell ref="O64:P64"/>
    <mergeCell ref="C61:D61"/>
    <mergeCell ref="G61:H61"/>
    <mergeCell ref="K61:L61"/>
    <mergeCell ref="O61:P61"/>
    <mergeCell ref="C62:D62"/>
    <mergeCell ref="G62:H62"/>
    <mergeCell ref="K62:L62"/>
    <mergeCell ref="O62:P62"/>
    <mergeCell ref="C59:D59"/>
    <mergeCell ref="G59:H59"/>
    <mergeCell ref="K59:L59"/>
    <mergeCell ref="O59:P59"/>
    <mergeCell ref="C60:D60"/>
    <mergeCell ref="G60:H60"/>
    <mergeCell ref="K60:L60"/>
    <mergeCell ref="O60:P60"/>
    <mergeCell ref="C57:D57"/>
    <mergeCell ref="G57:H57"/>
    <mergeCell ref="K57:L57"/>
    <mergeCell ref="O57:P57"/>
    <mergeCell ref="C58:D58"/>
    <mergeCell ref="G58:H58"/>
    <mergeCell ref="K58:L58"/>
    <mergeCell ref="O58:P58"/>
    <mergeCell ref="A53:P53"/>
    <mergeCell ref="A55:A56"/>
    <mergeCell ref="B55:B56"/>
    <mergeCell ref="C55:D56"/>
    <mergeCell ref="E55:H55"/>
    <mergeCell ref="I55:L55"/>
    <mergeCell ref="M55:P55"/>
    <mergeCell ref="G56:H56"/>
    <mergeCell ref="K56:L56"/>
    <mergeCell ref="O56:P56"/>
    <mergeCell ref="C48:D48"/>
    <mergeCell ref="G48:H48"/>
    <mergeCell ref="K48:L48"/>
    <mergeCell ref="O48:P48"/>
    <mergeCell ref="C49:D49"/>
    <mergeCell ref="G49:H49"/>
    <mergeCell ref="K49:L49"/>
    <mergeCell ref="O49:P49"/>
    <mergeCell ref="C46:D46"/>
    <mergeCell ref="G46:H46"/>
    <mergeCell ref="K46:L46"/>
    <mergeCell ref="O46:P46"/>
    <mergeCell ref="C47:D47"/>
    <mergeCell ref="G47:H47"/>
    <mergeCell ref="K47:L47"/>
    <mergeCell ref="O47:P47"/>
    <mergeCell ref="G44:H44"/>
    <mergeCell ref="K44:L44"/>
    <mergeCell ref="O44:P44"/>
    <mergeCell ref="C45:D45"/>
    <mergeCell ref="G45:H45"/>
    <mergeCell ref="K45:L45"/>
    <mergeCell ref="O45:P45"/>
    <mergeCell ref="G37:H37"/>
    <mergeCell ref="K37:L37"/>
    <mergeCell ref="O37:P37"/>
    <mergeCell ref="A41:P41"/>
    <mergeCell ref="A43:A44"/>
    <mergeCell ref="B43:B44"/>
    <mergeCell ref="C43:D44"/>
    <mergeCell ref="E43:H43"/>
    <mergeCell ref="I43:L43"/>
    <mergeCell ref="M43:P43"/>
    <mergeCell ref="G35:H35"/>
    <mergeCell ref="K35:L35"/>
    <mergeCell ref="O35:P35"/>
    <mergeCell ref="G36:H36"/>
    <mergeCell ref="K36:L36"/>
    <mergeCell ref="O36:P36"/>
    <mergeCell ref="G33:H33"/>
    <mergeCell ref="K33:L33"/>
    <mergeCell ref="O33:P33"/>
    <mergeCell ref="G34:H34"/>
    <mergeCell ref="K34:L34"/>
    <mergeCell ref="O34:P34"/>
    <mergeCell ref="O30:P30"/>
    <mergeCell ref="G31:H31"/>
    <mergeCell ref="K31:L31"/>
    <mergeCell ref="O31:P31"/>
    <mergeCell ref="G32:H32"/>
    <mergeCell ref="K32:L32"/>
    <mergeCell ref="O32:P32"/>
    <mergeCell ref="A27:P27"/>
    <mergeCell ref="A29:A30"/>
    <mergeCell ref="B29:B30"/>
    <mergeCell ref="C29:C30"/>
    <mergeCell ref="D29:D30"/>
    <mergeCell ref="E29:H29"/>
    <mergeCell ref="I29:L29"/>
    <mergeCell ref="M29:P29"/>
    <mergeCell ref="G30:H30"/>
    <mergeCell ref="K30:L30"/>
    <mergeCell ref="C23:D23"/>
    <mergeCell ref="G23:H23"/>
    <mergeCell ref="K23:L23"/>
    <mergeCell ref="O23:P23"/>
    <mergeCell ref="C22:D22"/>
    <mergeCell ref="G22:H22"/>
    <mergeCell ref="K22:L22"/>
    <mergeCell ref="O22:P22"/>
    <mergeCell ref="G20:H20"/>
    <mergeCell ref="K20:L20"/>
    <mergeCell ref="O20:P20"/>
    <mergeCell ref="C21:D21"/>
    <mergeCell ref="G21:H21"/>
    <mergeCell ref="K21:L21"/>
    <mergeCell ref="O21:P21"/>
    <mergeCell ref="C13:D13"/>
    <mergeCell ref="A17:P17"/>
    <mergeCell ref="A19:A20"/>
    <mergeCell ref="B19:B20"/>
    <mergeCell ref="C19:D20"/>
    <mergeCell ref="E19:H19"/>
    <mergeCell ref="I19:L19"/>
    <mergeCell ref="M19:P19"/>
    <mergeCell ref="C7:D7"/>
    <mergeCell ref="C8:D8"/>
    <mergeCell ref="C9:D9"/>
    <mergeCell ref="C10:D10"/>
    <mergeCell ref="C11:D11"/>
    <mergeCell ref="C12:D12"/>
    <mergeCell ref="A1:P1"/>
    <mergeCell ref="A2:P2"/>
    <mergeCell ref="A3:P3"/>
    <mergeCell ref="A5:A6"/>
    <mergeCell ref="B5:B6"/>
    <mergeCell ref="C5:D6"/>
    <mergeCell ref="E5:H5"/>
    <mergeCell ref="I5:L5"/>
    <mergeCell ref="M5:P5"/>
  </mergeCells>
  <conditionalFormatting sqref="G58:H98">
    <cfRule type="expression" dxfId="26" priority="29">
      <formula>$G$97&lt;0</formula>
    </cfRule>
  </conditionalFormatting>
  <conditionalFormatting sqref="K97:L98">
    <cfRule type="expression" dxfId="25" priority="28">
      <formula>$K$97&lt;0</formula>
    </cfRule>
  </conditionalFormatting>
  <conditionalFormatting sqref="O97:P98">
    <cfRule type="expression" dxfId="24" priority="27">
      <formula>$O$97&lt;0</formula>
    </cfRule>
  </conditionalFormatting>
  <conditionalFormatting sqref="G107:H122">
    <cfRule type="expression" dxfId="23" priority="26">
      <formula>$G$121&lt;0</formula>
    </cfRule>
  </conditionalFormatting>
  <conditionalFormatting sqref="K122:L122">
    <cfRule type="expression" dxfId="22" priority="25">
      <formula>$K$121&lt;0</formula>
    </cfRule>
  </conditionalFormatting>
  <conditionalFormatting sqref="O122:P122">
    <cfRule type="expression" dxfId="21" priority="24">
      <formula>$O$121&lt;0</formula>
    </cfRule>
  </conditionalFormatting>
  <conditionalFormatting sqref="K58:L96">
    <cfRule type="expression" dxfId="20" priority="20">
      <formula>$G$97&lt;0</formula>
    </cfRule>
  </conditionalFormatting>
  <conditionalFormatting sqref="O58:P96">
    <cfRule type="expression" dxfId="19" priority="19">
      <formula>$G$97&lt;0</formula>
    </cfRule>
  </conditionalFormatting>
  <conditionalFormatting sqref="E58:P97">
    <cfRule type="containsBlanks" dxfId="18" priority="31">
      <formula>LEN(TRIM(E58))=0</formula>
    </cfRule>
  </conditionalFormatting>
  <conditionalFormatting sqref="E8:P12">
    <cfRule type="containsBlanks" dxfId="17" priority="101">
      <formula>LEN(TRIM(E8))=0</formula>
    </cfRule>
  </conditionalFormatting>
  <conditionalFormatting sqref="H8:H13">
    <cfRule type="expression" dxfId="16" priority="16">
      <formula>$H$12&lt;0</formula>
    </cfRule>
  </conditionalFormatting>
  <conditionalFormatting sqref="L8:L13">
    <cfRule type="expression" dxfId="15" priority="15">
      <formula>$L$12&lt;0</formula>
    </cfRule>
  </conditionalFormatting>
  <conditionalFormatting sqref="P8:P13">
    <cfRule type="expression" dxfId="14" priority="14">
      <formula>$P$12&lt;0</formula>
    </cfRule>
  </conditionalFormatting>
  <conditionalFormatting sqref="K107:L121">
    <cfRule type="expression" dxfId="13" priority="13">
      <formula>$G$121&lt;0</formula>
    </cfRule>
  </conditionalFormatting>
  <conditionalFormatting sqref="O107:P121">
    <cfRule type="expression" dxfId="12" priority="12">
      <formula>$G$121&lt;0</formula>
    </cfRule>
  </conditionalFormatting>
  <conditionalFormatting sqref="E107:F121 I107:J121 M107:N121">
    <cfRule type="containsBlanks" dxfId="11" priority="30">
      <formula>LEN(TRIM(E107))=0</formula>
    </cfRule>
  </conditionalFormatting>
  <conditionalFormatting sqref="E131:P133">
    <cfRule type="containsBlanks" dxfId="10" priority="11">
      <formula>LEN(TRIM(E131))=0</formula>
    </cfRule>
  </conditionalFormatting>
  <conditionalFormatting sqref="E143:P145">
    <cfRule type="containsBlanks" dxfId="9" priority="10">
      <formula>LEN(TRIM(E143))=0</formula>
    </cfRule>
  </conditionalFormatting>
  <conditionalFormatting sqref="E22:P22">
    <cfRule type="containsBlanks" dxfId="8" priority="8">
      <formula>LEN(TRIM(E22))=0</formula>
    </cfRule>
  </conditionalFormatting>
  <conditionalFormatting sqref="E155:P163">
    <cfRule type="containsBlanks" dxfId="7" priority="1">
      <formula>LEN(TRIM(E155))=0</formula>
    </cfRule>
  </conditionalFormatting>
  <conditionalFormatting sqref="G155:H164">
    <cfRule type="expression" dxfId="6" priority="4">
      <formula>$G$163&lt;0</formula>
    </cfRule>
  </conditionalFormatting>
  <conditionalFormatting sqref="K155:L164">
    <cfRule type="expression" dxfId="5" priority="3">
      <formula>$K$163&lt;0</formula>
    </cfRule>
  </conditionalFormatting>
  <conditionalFormatting sqref="O155:P164">
    <cfRule type="expression" dxfId="4" priority="2">
      <formula>$O$163&lt;0</formula>
    </cfRule>
  </conditionalFormatting>
  <conditionalFormatting sqref="G22:H23">
    <cfRule type="expression" dxfId="3" priority="96">
      <formula>#REF!&lt;0</formula>
    </cfRule>
  </conditionalFormatting>
  <conditionalFormatting sqref="K22:L23">
    <cfRule type="expression" dxfId="2" priority="98">
      <formula>#REF!&lt;0</formula>
    </cfRule>
  </conditionalFormatting>
  <conditionalFormatting sqref="O22:P23">
    <cfRule type="expression" dxfId="1" priority="100">
      <formula>#REF!&lt;0</formula>
    </cfRule>
  </conditionalFormatting>
  <pageMargins left="0.19685039370078741" right="0.19685039370078741" top="0.74803149606299213" bottom="0.19685039370078741" header="0.31496062992125984" footer="0.31496062992125984"/>
  <pageSetup paperSize="9" scale="65"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3">
    <pageSetUpPr fitToPage="1"/>
  </sheetPr>
  <dimension ref="A1:L30"/>
  <sheetViews>
    <sheetView zoomScale="80" zoomScaleNormal="80" workbookViewId="0">
      <selection activeCell="O12" sqref="O12"/>
    </sheetView>
  </sheetViews>
  <sheetFormatPr defaultRowHeight="12.75" x14ac:dyDescent="0.2"/>
  <cols>
    <col min="1" max="1" width="11.28515625" customWidth="1"/>
    <col min="2" max="2" width="4.85546875" customWidth="1"/>
    <col min="3" max="3" width="26.5703125" customWidth="1"/>
    <col min="4" max="15" width="12.7109375" customWidth="1"/>
  </cols>
  <sheetData>
    <row r="1" spans="1:12" s="331" customFormat="1" x14ac:dyDescent="0.2"/>
    <row r="2" spans="1:12" s="331" customFormat="1" ht="27.75" customHeight="1" x14ac:dyDescent="0.2">
      <c r="A2" s="989" t="s">
        <v>645</v>
      </c>
      <c r="B2" s="989"/>
      <c r="C2" s="989"/>
      <c r="D2" s="989"/>
      <c r="E2" s="989"/>
      <c r="F2" s="989"/>
      <c r="G2" s="989"/>
      <c r="H2" s="989"/>
      <c r="I2" s="989"/>
      <c r="J2" s="989"/>
      <c r="K2" s="989"/>
      <c r="L2" s="989"/>
    </row>
    <row r="3" spans="1:12" s="331" customFormat="1" x14ac:dyDescent="0.2"/>
    <row r="4" spans="1:12" s="331" customFormat="1" ht="34.5" customHeight="1" x14ac:dyDescent="0.2">
      <c r="A4" s="1034" t="s">
        <v>598</v>
      </c>
      <c r="B4" s="1000" t="s">
        <v>484</v>
      </c>
      <c r="C4" s="1037" t="s">
        <v>0</v>
      </c>
      <c r="D4" s="1295" t="s">
        <v>831</v>
      </c>
      <c r="E4" s="1296"/>
      <c r="F4" s="1297"/>
      <c r="G4" s="1298" t="s">
        <v>825</v>
      </c>
      <c r="H4" s="1293"/>
      <c r="I4" s="1294"/>
      <c r="J4" s="1083" t="s">
        <v>823</v>
      </c>
      <c r="K4" s="1293"/>
      <c r="L4" s="1294"/>
    </row>
    <row r="5" spans="1:12" s="331" customFormat="1" ht="38.25" x14ac:dyDescent="0.2">
      <c r="A5" s="1035"/>
      <c r="B5" s="1036"/>
      <c r="C5" s="1038"/>
      <c r="D5" s="385" t="s">
        <v>646</v>
      </c>
      <c r="E5" s="386" t="s">
        <v>647</v>
      </c>
      <c r="F5" s="380" t="s">
        <v>553</v>
      </c>
      <c r="G5" s="385" t="s">
        <v>646</v>
      </c>
      <c r="H5" s="386" t="s">
        <v>647</v>
      </c>
      <c r="I5" s="380" t="s">
        <v>553</v>
      </c>
      <c r="J5" s="617" t="s">
        <v>646</v>
      </c>
      <c r="K5" s="386" t="s">
        <v>647</v>
      </c>
      <c r="L5" s="380" t="s">
        <v>553</v>
      </c>
    </row>
    <row r="6" spans="1:12" s="331" customFormat="1" x14ac:dyDescent="0.2">
      <c r="A6" s="430" t="s">
        <v>6</v>
      </c>
      <c r="B6" s="427" t="s">
        <v>7</v>
      </c>
      <c r="C6" s="432" t="s">
        <v>8</v>
      </c>
      <c r="D6" s="430" t="s">
        <v>9</v>
      </c>
      <c r="E6" s="427" t="s">
        <v>10</v>
      </c>
      <c r="F6" s="428" t="s">
        <v>554</v>
      </c>
      <c r="G6" s="430" t="s">
        <v>466</v>
      </c>
      <c r="H6" s="427" t="s">
        <v>465</v>
      </c>
      <c r="I6" s="428" t="s">
        <v>555</v>
      </c>
      <c r="J6" s="431" t="s">
        <v>463</v>
      </c>
      <c r="K6" s="427" t="s">
        <v>468</v>
      </c>
      <c r="L6" s="428" t="s">
        <v>556</v>
      </c>
    </row>
    <row r="7" spans="1:12" s="331" customFormat="1" ht="63" x14ac:dyDescent="0.2">
      <c r="A7" s="486" t="s">
        <v>141</v>
      </c>
      <c r="B7" s="491" t="s">
        <v>6</v>
      </c>
      <c r="C7" s="492" t="s">
        <v>648</v>
      </c>
      <c r="D7" s="680" t="s">
        <v>462</v>
      </c>
      <c r="E7" s="655" t="s">
        <v>462</v>
      </c>
      <c r="F7" s="656"/>
      <c r="G7" s="680" t="s">
        <v>462</v>
      </c>
      <c r="H7" s="655" t="s">
        <v>462</v>
      </c>
      <c r="I7" s="656"/>
      <c r="J7" s="654" t="s">
        <v>462</v>
      </c>
      <c r="K7" s="655" t="s">
        <v>462</v>
      </c>
      <c r="L7" s="656"/>
    </row>
    <row r="8" spans="1:12" s="331" customFormat="1" ht="15.75" x14ac:dyDescent="0.2">
      <c r="A8" s="452" t="s">
        <v>141</v>
      </c>
      <c r="B8" s="450" t="s">
        <v>156</v>
      </c>
      <c r="C8" s="488" t="s">
        <v>649</v>
      </c>
      <c r="D8" s="604"/>
      <c r="E8" s="580"/>
      <c r="F8" s="581"/>
      <c r="G8" s="604"/>
      <c r="H8" s="580"/>
      <c r="I8" s="581"/>
      <c r="J8" s="605"/>
      <c r="K8" s="580"/>
      <c r="L8" s="581"/>
    </row>
    <row r="9" spans="1:12" s="331" customFormat="1" ht="15.75" x14ac:dyDescent="0.2">
      <c r="A9" s="452"/>
      <c r="B9" s="450"/>
      <c r="C9" s="488"/>
      <c r="D9" s="604"/>
      <c r="E9" s="580"/>
      <c r="F9" s="581"/>
      <c r="G9" s="604"/>
      <c r="H9" s="580"/>
      <c r="I9" s="581"/>
      <c r="J9" s="605"/>
      <c r="K9" s="580"/>
      <c r="L9" s="581"/>
    </row>
    <row r="10" spans="1:12" s="331" customFormat="1" ht="94.5" x14ac:dyDescent="0.2">
      <c r="A10" s="452" t="s">
        <v>143</v>
      </c>
      <c r="B10" s="450" t="s">
        <v>7</v>
      </c>
      <c r="C10" s="592" t="s">
        <v>650</v>
      </c>
      <c r="D10" s="604" t="s">
        <v>462</v>
      </c>
      <c r="E10" s="580" t="s">
        <v>462</v>
      </c>
      <c r="F10" s="581"/>
      <c r="G10" s="604" t="s">
        <v>462</v>
      </c>
      <c r="H10" s="580" t="s">
        <v>462</v>
      </c>
      <c r="I10" s="581"/>
      <c r="J10" s="605" t="s">
        <v>462</v>
      </c>
      <c r="K10" s="580" t="s">
        <v>462</v>
      </c>
      <c r="L10" s="581"/>
    </row>
    <row r="11" spans="1:12" s="331" customFormat="1" ht="15.75" x14ac:dyDescent="0.2">
      <c r="A11" s="452" t="s">
        <v>143</v>
      </c>
      <c r="B11" s="450" t="s">
        <v>603</v>
      </c>
      <c r="C11" s="488" t="s">
        <v>649</v>
      </c>
      <c r="D11" s="604"/>
      <c r="E11" s="580"/>
      <c r="F11" s="581"/>
      <c r="G11" s="604"/>
      <c r="H11" s="580"/>
      <c r="I11" s="581"/>
      <c r="J11" s="605"/>
      <c r="K11" s="580"/>
      <c r="L11" s="581"/>
    </row>
    <row r="12" spans="1:12" s="331" customFormat="1" ht="15.75" x14ac:dyDescent="0.2">
      <c r="A12" s="456"/>
      <c r="B12" s="454"/>
      <c r="C12" s="614"/>
      <c r="D12" s="681"/>
      <c r="E12" s="665"/>
      <c r="F12" s="666"/>
      <c r="G12" s="681"/>
      <c r="H12" s="665"/>
      <c r="I12" s="666"/>
      <c r="J12" s="664"/>
      <c r="K12" s="665"/>
      <c r="L12" s="666"/>
    </row>
    <row r="13" spans="1:12" s="331" customFormat="1" ht="15.75" x14ac:dyDescent="0.2">
      <c r="A13" s="611"/>
      <c r="B13" s="612"/>
      <c r="C13" s="615" t="s">
        <v>611</v>
      </c>
      <c r="D13" s="682" t="s">
        <v>462</v>
      </c>
      <c r="E13" s="651" t="s">
        <v>462</v>
      </c>
      <c r="F13" s="652"/>
      <c r="G13" s="682" t="s">
        <v>462</v>
      </c>
      <c r="H13" s="651" t="s">
        <v>462</v>
      </c>
      <c r="I13" s="652"/>
      <c r="J13" s="650" t="s">
        <v>462</v>
      </c>
      <c r="K13" s="651" t="s">
        <v>462</v>
      </c>
      <c r="L13" s="652"/>
    </row>
    <row r="15" spans="1:12" ht="15.75" x14ac:dyDescent="0.2">
      <c r="A15" s="426"/>
      <c r="B15" s="506"/>
    </row>
    <row r="16" spans="1:12" s="12" customFormat="1" ht="15.75" x14ac:dyDescent="0.25">
      <c r="C16" s="2" t="s">
        <v>201</v>
      </c>
      <c r="E16" s="1290" t="s">
        <v>459</v>
      </c>
      <c r="F16" s="1290"/>
      <c r="G16" s="1290"/>
      <c r="H16" s="1291"/>
      <c r="I16" s="1292"/>
      <c r="J16" s="1290" t="str">
        <f>Титульный!E161</f>
        <v>Шовская Т.В.</v>
      </c>
      <c r="K16" s="1290"/>
      <c r="L16" s="1290"/>
    </row>
    <row r="17" spans="3:12" s="12" customFormat="1" ht="15.75" x14ac:dyDescent="0.25">
      <c r="C17" s="2" t="s">
        <v>202</v>
      </c>
      <c r="E17" s="1286" t="s">
        <v>203</v>
      </c>
      <c r="F17" s="1286"/>
      <c r="G17" s="1286"/>
      <c r="H17" s="1287" t="s">
        <v>12</v>
      </c>
      <c r="I17" s="1288"/>
      <c r="J17" s="1289" t="s">
        <v>13</v>
      </c>
      <c r="K17" s="1289"/>
      <c r="L17" s="1289"/>
    </row>
    <row r="18" spans="3:12" s="12" customFormat="1" ht="15.75" x14ac:dyDescent="0.25">
      <c r="C18" s="2"/>
      <c r="F18" s="52"/>
      <c r="G18" s="52"/>
      <c r="H18" s="329"/>
      <c r="I18" s="329"/>
      <c r="J18" s="329"/>
      <c r="K18" s="329"/>
    </row>
    <row r="19" spans="3:12" s="12" customFormat="1" ht="15.75" x14ac:dyDescent="0.25">
      <c r="C19" s="2"/>
      <c r="F19" s="52"/>
      <c r="G19" s="52"/>
      <c r="H19" s="329"/>
      <c r="I19" s="329"/>
      <c r="J19" s="329"/>
      <c r="K19" s="329"/>
    </row>
    <row r="20" spans="3:12" s="12" customFormat="1" ht="15.75" x14ac:dyDescent="0.25">
      <c r="C20" s="2" t="s">
        <v>204</v>
      </c>
      <c r="E20" s="1290" t="s">
        <v>460</v>
      </c>
      <c r="F20" s="1290"/>
      <c r="G20" s="1290"/>
      <c r="H20" s="1291"/>
      <c r="I20" s="1292"/>
      <c r="J20" s="1290" t="str">
        <f>Титульный!E162</f>
        <v>Тушина М.О.</v>
      </c>
      <c r="K20" s="1290"/>
      <c r="L20" s="1290"/>
    </row>
    <row r="21" spans="3:12" s="12" customFormat="1" ht="15.75" x14ac:dyDescent="0.2">
      <c r="C21" s="1"/>
      <c r="E21" s="1286" t="s">
        <v>203</v>
      </c>
      <c r="F21" s="1286"/>
      <c r="G21" s="1286"/>
      <c r="H21" s="1287" t="s">
        <v>12</v>
      </c>
      <c r="I21" s="1288"/>
      <c r="J21" s="1289" t="s">
        <v>13</v>
      </c>
      <c r="K21" s="1289"/>
      <c r="L21" s="1289"/>
    </row>
    <row r="22" spans="3:12" s="12" customFormat="1" x14ac:dyDescent="0.2"/>
    <row r="23" spans="3:12" s="12" customFormat="1" x14ac:dyDescent="0.2">
      <c r="C23" s="780">
        <f>Титульный!B2</f>
        <v>44196</v>
      </c>
    </row>
    <row r="24" spans="3:12" s="12" customFormat="1" ht="15.75" x14ac:dyDescent="0.25">
      <c r="C24" s="351" t="s">
        <v>651</v>
      </c>
    </row>
    <row r="25" spans="3:12" s="12" customFormat="1" x14ac:dyDescent="0.2"/>
    <row r="26" spans="3:12" s="12" customFormat="1" x14ac:dyDescent="0.2"/>
    <row r="27" spans="3:12" s="12" customFormat="1" x14ac:dyDescent="0.2"/>
    <row r="28" spans="3:12" s="12" customFormat="1" x14ac:dyDescent="0.2"/>
    <row r="29" spans="3:12" s="12" customFormat="1" x14ac:dyDescent="0.2"/>
    <row r="30" spans="3:12" s="12" customFormat="1" x14ac:dyDescent="0.2"/>
  </sheetData>
  <mergeCells count="19">
    <mergeCell ref="A2:L2"/>
    <mergeCell ref="E16:G16"/>
    <mergeCell ref="H16:I16"/>
    <mergeCell ref="J16:L16"/>
    <mergeCell ref="J4:L4"/>
    <mergeCell ref="A4:A5"/>
    <mergeCell ref="B4:B5"/>
    <mergeCell ref="C4:C5"/>
    <mergeCell ref="D4:F4"/>
    <mergeCell ref="G4:I4"/>
    <mergeCell ref="E21:G21"/>
    <mergeCell ref="H21:I21"/>
    <mergeCell ref="J21:L21"/>
    <mergeCell ref="E17:G17"/>
    <mergeCell ref="H17:I17"/>
    <mergeCell ref="J17:L17"/>
    <mergeCell ref="E20:G20"/>
    <mergeCell ref="H20:I20"/>
    <mergeCell ref="J20:L20"/>
  </mergeCells>
  <pageMargins left="0.19685039370078741" right="0.19685039370078741" top="0.74803149606299213" bottom="0.19685039370078741" header="0.31496062992125984" footer="0.31496062992125984"/>
  <pageSetup paperSize="9" scale="9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Лист14"/>
  <dimension ref="A1:H29"/>
  <sheetViews>
    <sheetView workbookViewId="0">
      <selection activeCell="D27" sqref="D27"/>
    </sheetView>
  </sheetViews>
  <sheetFormatPr defaultRowHeight="12.75" x14ac:dyDescent="0.2"/>
  <cols>
    <col min="1" max="1" width="17.7109375" customWidth="1"/>
    <col min="2" max="2" width="16.7109375" customWidth="1"/>
    <col min="3" max="4" width="15.7109375" customWidth="1"/>
    <col min="6" max="8" width="14.5703125" customWidth="1"/>
  </cols>
  <sheetData>
    <row r="1" spans="1:8" ht="17.25" customHeight="1" x14ac:dyDescent="0.2">
      <c r="A1" s="12"/>
      <c r="B1" s="727">
        <v>2021</v>
      </c>
      <c r="C1" s="727">
        <v>2022</v>
      </c>
      <c r="D1" s="727">
        <v>2023</v>
      </c>
    </row>
    <row r="2" spans="1:8" ht="17.25" customHeight="1" x14ac:dyDescent="0.2">
      <c r="A2" s="12" t="s">
        <v>313</v>
      </c>
      <c r="B2" s="728">
        <f>SUM(B5:B15)</f>
        <v>88855418.359999999</v>
      </c>
      <c r="C2" s="728">
        <f t="shared" ref="C2:D2" si="0">SUM(C5:C15)</f>
        <v>88829357</v>
      </c>
      <c r="D2" s="728">
        <f t="shared" si="0"/>
        <v>90228536</v>
      </c>
    </row>
    <row r="3" spans="1:8" ht="17.25" customHeight="1" x14ac:dyDescent="0.2">
      <c r="A3" s="12"/>
    </row>
    <row r="4" spans="1:8" ht="17.25" customHeight="1" x14ac:dyDescent="0.2">
      <c r="A4" s="12"/>
      <c r="B4" s="726"/>
      <c r="C4" s="726"/>
      <c r="D4" s="726"/>
    </row>
    <row r="5" spans="1:8" ht="17.25" customHeight="1" x14ac:dyDescent="0.25">
      <c r="A5" s="130">
        <v>111</v>
      </c>
      <c r="B5" s="726">
        <f>'Расходы 111'!J16+'Расходы 111'!I47</f>
        <v>57452199.289999999</v>
      </c>
      <c r="C5" s="726">
        <f>'Расходы 111'!J27+'Расходы 111'!I52</f>
        <v>57837844</v>
      </c>
      <c r="D5" s="726">
        <f>'Расходы 111'!J38+'Расходы 111'!I57</f>
        <v>58926531</v>
      </c>
      <c r="F5" s="725"/>
      <c r="G5" s="725"/>
      <c r="H5" s="725"/>
    </row>
    <row r="6" spans="1:8" ht="17.25" customHeight="1" x14ac:dyDescent="0.25">
      <c r="A6" s="130">
        <v>112</v>
      </c>
      <c r="B6" s="726">
        <f>'Расходы 112'!D13</f>
        <v>1176214.6299999999</v>
      </c>
      <c r="C6" s="726">
        <f>'Расходы 112'!H13</f>
        <v>1175728</v>
      </c>
      <c r="D6" s="726">
        <f>'Расходы 112'!L13</f>
        <v>1175728</v>
      </c>
      <c r="F6" s="725"/>
      <c r="G6" s="725"/>
      <c r="H6" s="725"/>
    </row>
    <row r="7" spans="1:8" ht="17.25" customHeight="1" x14ac:dyDescent="0.25">
      <c r="A7" s="130">
        <v>113</v>
      </c>
      <c r="B7" s="726">
        <f>'Расходы 112'!F101</f>
        <v>27848</v>
      </c>
      <c r="C7" s="726">
        <f>'Расходы 112'!J99</f>
        <v>0</v>
      </c>
      <c r="D7" s="726">
        <f>'Расходы 112'!N99</f>
        <v>0</v>
      </c>
      <c r="F7" s="725"/>
      <c r="G7" s="725"/>
      <c r="H7" s="725"/>
    </row>
    <row r="8" spans="1:8" ht="17.25" customHeight="1" x14ac:dyDescent="0.25">
      <c r="A8" s="130">
        <v>119</v>
      </c>
      <c r="B8" s="726">
        <f>'Расходы 119 и проч'!F18+'Расходы 119 и проч'!F38</f>
        <v>17288297.780000001</v>
      </c>
      <c r="C8" s="726">
        <f>'Расходы 119 и проч'!I18+'Расходы 119 и проч'!I38</f>
        <v>17400970</v>
      </c>
      <c r="D8" s="726">
        <f>'Расходы 119 и проч'!L18+'Расходы 119 и проч'!L38</f>
        <v>17729756</v>
      </c>
      <c r="F8" s="725"/>
      <c r="G8" s="725"/>
      <c r="H8" s="725"/>
    </row>
    <row r="9" spans="1:8" ht="17.25" customHeight="1" x14ac:dyDescent="0.25">
      <c r="A9" s="130">
        <v>321</v>
      </c>
      <c r="B9" s="726">
        <f>'Расходы 119 и проч'!F52</f>
        <v>0</v>
      </c>
      <c r="C9" s="726">
        <f>'Расходы 119 и проч'!I52</f>
        <v>0</v>
      </c>
      <c r="D9" s="726">
        <f>'Расходы 119 и проч'!L52</f>
        <v>0</v>
      </c>
      <c r="F9" s="725"/>
      <c r="G9" s="725"/>
      <c r="H9" s="725"/>
    </row>
    <row r="10" spans="1:8" ht="17.25" customHeight="1" x14ac:dyDescent="0.25">
      <c r="A10" s="130">
        <v>350</v>
      </c>
      <c r="B10" s="726">
        <f>'Расходы 119 и проч'!F89</f>
        <v>0</v>
      </c>
      <c r="C10" s="726">
        <f>'Расходы 119 и проч'!I89</f>
        <v>0</v>
      </c>
      <c r="D10" s="726">
        <f>'Расходы 119 и проч'!L89</f>
        <v>0</v>
      </c>
      <c r="F10" s="725"/>
      <c r="G10" s="725"/>
      <c r="H10" s="725"/>
    </row>
    <row r="11" spans="1:8" ht="17.25" customHeight="1" x14ac:dyDescent="0.25">
      <c r="A11" s="130">
        <v>244</v>
      </c>
      <c r="B11" s="726">
        <f>'Расходы КФО 2'!H13+'Расходы КФО 2'!G23+'Расходы КФО 2'!G37+'Расходы КФО 2'!G49+'Расходы КФО 2'!G98+'Расходы КФО 2'!G122+'Расходы КФО 2'!E134+'Расходы КФО 2'!G146+'Расходы КФО 2'!G164+'Расходы КФО 2'!G191
+'Расходы КФО 4'!H13+'Расходы КФО 4'!G23+'Расходы КФО 4'!G37+'Расходы КФО 4'!G49+'Расходы КФО 4'!G98+'Расходы КФО 4'!G123+'Расходы КФО 4'!E135+'Расходы КФО 4'!G147+'Расходы КФО 4'!G166+'Расходы КФО 4'!G183
+'Расходы КФО 5'!H13+'Расходы КФО 5'!G23+'Расходы КФО 5'!G37+'Расходы КФО 5'!G49+'Расходы КФО 5'!G98+'Расходы КФО 5'!G122+'Расходы КФО 5'!E134+'Расходы КФО 5'!G146+'Расходы КФО 5'!G164+'Расходы КФО 5'!G181</f>
        <v>10747168.66</v>
      </c>
      <c r="C11" s="726">
        <f>'Расходы КФО 2'!L13+'Расходы КФО 2'!K23+'Расходы КФО 2'!K37+'Расходы КФО 2'!K49+'Расходы КФО 2'!K98+'Расходы КФО 2'!K122+'Расходы КФО 2'!I134+'Расходы КФО 2'!K146+'Расходы КФО 2'!K164+'Расходы КФО 2'!K191
+'Расходы КФО 4'!L13+'Расходы КФО 4'!K23+'Расходы КФО 4'!K37+'Расходы КФО 4'!K49+'Расходы КФО 4'!K98+'Расходы КФО 4'!K123+'Расходы КФО 4'!I135+'Расходы КФО 4'!K147+'Расходы КФО 4'!K166+'Расходы КФО 4'!K183
+'Расходы КФО 5'!L13+'Расходы КФО 5'!K23+'Расходы КФО 5'!K37+'Расходы КФО 5'!K49+'Расходы КФО 5'!K98+'Расходы КФО 5'!K122+'Расходы КФО 5'!I134+'Расходы КФО 5'!K146+'Расходы КФО 5'!K164+'Расходы КФО 5'!K181</f>
        <v>10269419</v>
      </c>
      <c r="D11" s="726">
        <f>'Расходы КФО 2'!P13+'Расходы КФО 2'!O23+'Расходы КФО 2'!O37+'Расходы КФО 2'!O49+'Расходы КФО 2'!O98+'Расходы КФО 2'!O122+'Расходы КФО 2'!M134+'Расходы КФО 2'!O146+'Расходы КФО 2'!O164+'Расходы КФО 2'!O191
+'Расходы КФО 4'!P13+'Расходы КФО 4'!O23+'Расходы КФО 4'!O37+'Расходы КФО 4'!O49+'Расходы КФО 4'!O98+'Расходы КФО 4'!O123+'Расходы КФО 4'!M135+'Расходы КФО 4'!O147+'Расходы КФО 4'!O166+'Расходы КФО 4'!O183
+'Расходы КФО 5'!P13+'Расходы КФО 5'!O23+'Расходы КФО 5'!O37+'Расходы КФО 5'!O49+'Расходы КФО 5'!O98+'Расходы КФО 5'!O122+'Расходы КФО 5'!M134+'Расходы КФО 5'!O146+'Расходы КФО 5'!O164+'Расходы КФО 5'!O181</f>
        <v>10269419</v>
      </c>
      <c r="F11" s="725"/>
      <c r="G11" s="725"/>
      <c r="H11" s="725"/>
    </row>
    <row r="12" spans="1:8" ht="17.25" customHeight="1" x14ac:dyDescent="0.25">
      <c r="A12" s="130">
        <v>831</v>
      </c>
      <c r="B12" s="726">
        <f>'Расходы 119 и проч'!D111</f>
        <v>500</v>
      </c>
      <c r="C12" s="726">
        <f>'Расходы 119 и проч'!G111</f>
        <v>500</v>
      </c>
      <c r="D12" s="726">
        <f>'Расходы 119 и проч'!J111</f>
        <v>500</v>
      </c>
      <c r="F12" s="725"/>
      <c r="G12" s="725"/>
      <c r="H12" s="725"/>
    </row>
    <row r="13" spans="1:8" ht="17.25" customHeight="1" x14ac:dyDescent="0.25">
      <c r="A13" s="130">
        <v>851</v>
      </c>
      <c r="B13" s="726">
        <f>'Расходы 119 и проч'!F67</f>
        <v>2160190</v>
      </c>
      <c r="C13" s="726">
        <f>'Расходы 119 и проч'!I67</f>
        <v>2141896</v>
      </c>
      <c r="D13" s="726">
        <f>'Расходы 119 и проч'!L67</f>
        <v>2123602</v>
      </c>
      <c r="F13" s="725"/>
      <c r="G13" s="725"/>
      <c r="H13" s="725"/>
    </row>
    <row r="14" spans="1:8" ht="17.25" customHeight="1" x14ac:dyDescent="0.25">
      <c r="A14" s="130">
        <v>852</v>
      </c>
      <c r="B14" s="726">
        <f>'Расходы 119 и проч'!F78</f>
        <v>0</v>
      </c>
      <c r="C14" s="726">
        <f>'Расходы 119 и проч'!I78</f>
        <v>0</v>
      </c>
      <c r="D14" s="726">
        <f>'Расходы 119 и проч'!L78</f>
        <v>0</v>
      </c>
      <c r="F14" s="725"/>
      <c r="G14" s="725"/>
      <c r="H14" s="725"/>
    </row>
    <row r="15" spans="1:8" ht="17.25" customHeight="1" x14ac:dyDescent="0.25">
      <c r="A15" s="132">
        <v>853</v>
      </c>
      <c r="B15" s="726">
        <f>'Расходы 119 и проч'!F102</f>
        <v>3000</v>
      </c>
      <c r="C15" s="726">
        <f>'Расходы 119 и проч'!I102</f>
        <v>3000</v>
      </c>
      <c r="D15" s="726">
        <f>'Расходы 119 и проч'!L102</f>
        <v>3000</v>
      </c>
      <c r="F15" s="725"/>
      <c r="G15" s="725"/>
      <c r="H15" s="725"/>
    </row>
    <row r="16" spans="1:8" ht="17.25" customHeight="1" x14ac:dyDescent="0.2">
      <c r="A16" s="12" t="s">
        <v>805</v>
      </c>
      <c r="B16" s="726">
        <f>Титульный!G183+Титульный!G184+Титульный!G185</f>
        <v>0</v>
      </c>
      <c r="C16" s="12"/>
      <c r="D16" s="12"/>
      <c r="F16" s="725"/>
      <c r="G16" s="725"/>
      <c r="H16" s="725"/>
    </row>
    <row r="17" spans="1:8" ht="17.25" customHeight="1" x14ac:dyDescent="0.2">
      <c r="A17" s="12"/>
      <c r="B17" s="12"/>
      <c r="C17" s="12"/>
      <c r="D17" s="12"/>
      <c r="F17" s="725"/>
      <c r="G17" s="725"/>
      <c r="H17" s="725"/>
    </row>
    <row r="18" spans="1:8" ht="17.25" customHeight="1" x14ac:dyDescent="0.2">
      <c r="A18" s="12"/>
      <c r="B18" s="12"/>
      <c r="C18" s="12"/>
      <c r="D18" s="12"/>
      <c r="F18" s="725"/>
      <c r="G18" s="725"/>
      <c r="H18" s="725"/>
    </row>
    <row r="19" spans="1:8" ht="28.9" customHeight="1" x14ac:dyDescent="0.2">
      <c r="A19" s="729" t="s">
        <v>803</v>
      </c>
      <c r="B19" s="735">
        <f>Титульный!G173+Титульный!G174+Титульный!G175</f>
        <v>568760.36</v>
      </c>
      <c r="C19" s="12"/>
      <c r="D19" s="12"/>
    </row>
    <row r="20" spans="1:8" ht="17.25" customHeight="1" x14ac:dyDescent="0.2">
      <c r="A20" s="12" t="s">
        <v>312</v>
      </c>
      <c r="B20" s="728">
        <f>Доходы!J21+Доходы!D30+Доходы!D33+Доходы!J47+Доходы!J62+Доходы!D73+Доходы!D93+Доходы!D104+Доходы!J116+Доходы!J126</f>
        <v>88286658</v>
      </c>
      <c r="C20" s="728">
        <f>Доходы!K21+Доходы!G30+Доходы!G33+Доходы!K47+Доходы!K62+Доходы!G73+Доходы!G93+Доходы!G104+Доходы!K116+Доходы!K126</f>
        <v>88829357</v>
      </c>
      <c r="D20" s="728">
        <f>Доходы!L21+Доходы!J30+Доходы!J33+Доходы!L47+Доходы!L62+Доходы!J73+Доходы!J93+Доходы!J104+Доходы!L116+Доходы!L126</f>
        <v>90228536</v>
      </c>
    </row>
    <row r="21" spans="1:8" ht="17.25" customHeight="1" x14ac:dyDescent="0.2">
      <c r="A21" s="12" t="s">
        <v>804</v>
      </c>
      <c r="B21" s="726">
        <f>Титульный!G179+Титульный!G180+Титульный!G181</f>
        <v>0</v>
      </c>
      <c r="C21" s="726"/>
      <c r="D21" s="726"/>
    </row>
    <row r="22" spans="1:8" ht="17.25" customHeight="1" x14ac:dyDescent="0.2">
      <c r="A22" s="12"/>
      <c r="B22" s="726"/>
      <c r="C22" s="726"/>
      <c r="D22" s="726"/>
    </row>
    <row r="23" spans="1:8" ht="17.25" customHeight="1" x14ac:dyDescent="0.2">
      <c r="A23" s="12" t="s">
        <v>757</v>
      </c>
      <c r="B23" s="726">
        <f>Титульный!R3+Титульный!R56+Титульный!R129</f>
        <v>88286658</v>
      </c>
      <c r="C23" s="726">
        <f>Титульный!S3+Титульный!S56+Титульный!S129</f>
        <v>88829357</v>
      </c>
      <c r="D23" s="726">
        <f>Титульный!T3+Титульный!T56+Титульный!T129</f>
        <v>90228536</v>
      </c>
    </row>
    <row r="25" spans="1:8" x14ac:dyDescent="0.2">
      <c r="B25" s="725"/>
      <c r="C25" s="725"/>
      <c r="D25" s="725"/>
    </row>
    <row r="26" spans="1:8" x14ac:dyDescent="0.2">
      <c r="A26" t="s">
        <v>806</v>
      </c>
      <c r="B26" s="725">
        <f>B19+B20+B21-B2-B16+'2'!E94</f>
        <v>0</v>
      </c>
      <c r="C26" s="725">
        <f>C19+C20+C21-C2-C16+'2'!F94</f>
        <v>0</v>
      </c>
      <c r="D26" s="725">
        <f>D19+D20+D21-D2-D16+'2'!G94</f>
        <v>0</v>
      </c>
    </row>
    <row r="27" spans="1:8" x14ac:dyDescent="0.2">
      <c r="B27" s="725"/>
      <c r="C27" s="725"/>
      <c r="D27" s="725"/>
    </row>
    <row r="29" spans="1:8" x14ac:dyDescent="0.2">
      <c r="B29" s="725"/>
      <c r="C29" s="725"/>
      <c r="D29" s="725"/>
    </row>
  </sheetData>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1" id="{B53CD22B-2FCE-4F37-8359-99C2C7C25A84}">
            <xm:f>AND(#REF!=$E$2,SUM('\Точеная О.И\[2019.12.04 - 2019 ПФХД, СОШ 28.xlsx]6.5'!#REF!)&gt;'\Точеная О.И\[2019.12.04 - 2019 ПФХД, СОШ 28.xlsx]6.5'!#REF!)</xm:f>
            <x14:dxf>
              <fill>
                <patternFill>
                  <bgColor theme="5" tint="0.59996337778862885"/>
                </patternFill>
              </fill>
            </x14:dxf>
          </x14:cfRule>
          <xm:sqref>A14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Лист15"/>
  <dimension ref="A3:B7"/>
  <sheetViews>
    <sheetView workbookViewId="0">
      <selection activeCell="A3" sqref="A3"/>
    </sheetView>
  </sheetViews>
  <sheetFormatPr defaultRowHeight="12.75" x14ac:dyDescent="0.2"/>
  <cols>
    <col min="1" max="1" width="10.140625" bestFit="1" customWidth="1"/>
  </cols>
  <sheetData>
    <row r="3" spans="1:2" x14ac:dyDescent="0.2">
      <c r="A3" s="785">
        <v>44364</v>
      </c>
      <c r="B3" t="s">
        <v>815</v>
      </c>
    </row>
    <row r="5" spans="1:2" x14ac:dyDescent="0.2">
      <c r="A5" s="785">
        <v>44373</v>
      </c>
      <c r="B5" t="s">
        <v>816</v>
      </c>
    </row>
    <row r="7" spans="1:2" x14ac:dyDescent="0.2">
      <c r="A7" s="785">
        <v>44394</v>
      </c>
      <c r="B7" t="s">
        <v>832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pageSetUpPr fitToPage="1"/>
  </sheetPr>
  <dimension ref="A1:H24"/>
  <sheetViews>
    <sheetView view="pageBreakPreview" zoomScale="68" zoomScaleNormal="100" zoomScaleSheetLayoutView="68" workbookViewId="0">
      <selection activeCell="A12" sqref="A12:XFD23"/>
    </sheetView>
  </sheetViews>
  <sheetFormatPr defaultRowHeight="12.75" x14ac:dyDescent="0.2"/>
  <cols>
    <col min="1" max="1" width="44.7109375" customWidth="1"/>
    <col min="2" max="2" width="47.28515625" customWidth="1"/>
    <col min="3" max="8" width="11.7109375" customWidth="1"/>
  </cols>
  <sheetData>
    <row r="1" spans="1:8" s="4" customFormat="1" ht="18.75" x14ac:dyDescent="0.3">
      <c r="A1" s="3"/>
      <c r="B1" s="3"/>
      <c r="C1" s="314"/>
      <c r="D1" s="314"/>
      <c r="E1" s="314"/>
      <c r="F1" s="314"/>
      <c r="G1" s="314"/>
      <c r="H1" s="314"/>
    </row>
    <row r="2" spans="1:8" s="4" customFormat="1" ht="18.75" x14ac:dyDescent="0.3">
      <c r="A2" s="3"/>
      <c r="B2" s="3"/>
      <c r="C2" s="907" t="s">
        <v>226</v>
      </c>
      <c r="D2" s="907"/>
      <c r="E2" s="907"/>
      <c r="F2" s="907"/>
      <c r="G2" s="907"/>
      <c r="H2" s="907"/>
    </row>
    <row r="3" spans="1:8" s="4" customFormat="1" ht="18.75" x14ac:dyDescent="0.3">
      <c r="A3" s="3"/>
      <c r="B3" s="3"/>
      <c r="C3" s="908" t="s">
        <v>231</v>
      </c>
      <c r="D3" s="908"/>
      <c r="E3" s="908"/>
      <c r="F3" s="908"/>
      <c r="G3" s="908"/>
      <c r="H3" s="908"/>
    </row>
    <row r="4" spans="1:8" s="4" customFormat="1" ht="18.75" x14ac:dyDescent="0.3">
      <c r="A4" s="3"/>
      <c r="B4" s="3"/>
      <c r="C4" s="909" t="s">
        <v>11</v>
      </c>
      <c r="D4" s="909"/>
      <c r="E4" s="909"/>
      <c r="F4" s="909"/>
      <c r="G4" s="909"/>
      <c r="H4" s="909"/>
    </row>
    <row r="5" spans="1:8" s="4" customFormat="1" ht="18.75" x14ac:dyDescent="0.3">
      <c r="A5" s="3"/>
      <c r="B5" s="3"/>
      <c r="C5" s="8"/>
      <c r="D5" s="8"/>
      <c r="E5" s="8"/>
      <c r="F5" s="8"/>
      <c r="G5" s="8"/>
      <c r="H5" s="8"/>
    </row>
    <row r="6" spans="1:8" s="4" customFormat="1" ht="35.25" customHeight="1" x14ac:dyDescent="0.3">
      <c r="A6" s="3"/>
      <c r="B6" s="3"/>
      <c r="C6" s="908" t="s">
        <v>227</v>
      </c>
      <c r="D6" s="908"/>
      <c r="E6" s="908"/>
      <c r="F6" s="908"/>
      <c r="G6" s="908"/>
      <c r="H6" s="908"/>
    </row>
    <row r="7" spans="1:8" s="4" customFormat="1" ht="33.75" customHeight="1" x14ac:dyDescent="0.3">
      <c r="A7" s="3"/>
      <c r="B7" s="3"/>
      <c r="C7" s="909" t="s">
        <v>208</v>
      </c>
      <c r="D7" s="909"/>
      <c r="E7" s="909"/>
      <c r="F7" s="909"/>
      <c r="G7" s="909"/>
      <c r="H7" s="909"/>
    </row>
    <row r="8" spans="1:8" s="4" customFormat="1" ht="18.75" customHeight="1" x14ac:dyDescent="0.3">
      <c r="A8" s="3"/>
      <c r="B8" s="3"/>
      <c r="C8" s="8"/>
      <c r="D8" s="8"/>
      <c r="E8" s="8"/>
      <c r="F8" s="8"/>
      <c r="G8" s="8"/>
      <c r="H8" s="8"/>
    </row>
    <row r="9" spans="1:8" s="4" customFormat="1" ht="18.75" x14ac:dyDescent="0.3">
      <c r="A9" s="3"/>
      <c r="B9" s="3"/>
      <c r="C9" s="901"/>
      <c r="D9" s="902"/>
      <c r="E9" s="904" t="s">
        <v>230</v>
      </c>
      <c r="F9" s="905"/>
      <c r="G9" s="905"/>
      <c r="H9" s="906"/>
    </row>
    <row r="10" spans="1:8" s="4" customFormat="1" ht="18.75" x14ac:dyDescent="0.3">
      <c r="A10" s="3"/>
      <c r="B10" s="3"/>
      <c r="C10" s="903" t="s">
        <v>12</v>
      </c>
      <c r="D10" s="903"/>
      <c r="E10" s="903" t="s">
        <v>13</v>
      </c>
      <c r="F10" s="903"/>
      <c r="G10" s="903"/>
      <c r="H10" s="903"/>
    </row>
    <row r="11" spans="1:8" s="4" customFormat="1" ht="18.75" x14ac:dyDescent="0.3">
      <c r="A11" s="3"/>
      <c r="B11" s="3"/>
      <c r="C11" s="314"/>
      <c r="D11" s="314"/>
      <c r="E11" s="314"/>
      <c r="F11" s="314"/>
      <c r="G11" s="314"/>
      <c r="H11" s="314"/>
    </row>
    <row r="12" spans="1:8" s="4" customFormat="1" ht="18.75" x14ac:dyDescent="0.3">
      <c r="A12" s="5"/>
      <c r="B12" s="5"/>
      <c r="C12" s="61"/>
      <c r="D12" s="61"/>
      <c r="E12" s="61" t="s">
        <v>841</v>
      </c>
      <c r="F12" s="61"/>
      <c r="G12" s="61"/>
      <c r="H12" s="61"/>
    </row>
    <row r="13" spans="1:8" s="4" customFormat="1" ht="18.75" x14ac:dyDescent="0.3">
      <c r="A13" s="5"/>
      <c r="B13" s="5"/>
      <c r="C13" s="314"/>
      <c r="D13" s="314"/>
      <c r="E13" s="314"/>
      <c r="F13" s="314"/>
      <c r="G13" s="314"/>
      <c r="H13" s="314"/>
    </row>
    <row r="14" spans="1:8" s="4" customFormat="1" ht="18.75" x14ac:dyDescent="0.3">
      <c r="A14" s="6"/>
      <c r="B14" s="885" t="s">
        <v>827</v>
      </c>
      <c r="C14" s="885"/>
      <c r="D14" s="885"/>
      <c r="E14" s="6"/>
      <c r="F14" s="6"/>
      <c r="G14" s="6"/>
      <c r="H14" s="6"/>
    </row>
    <row r="15" spans="1:8" s="4" customFormat="1" ht="18.75" x14ac:dyDescent="0.3">
      <c r="A15" s="6"/>
      <c r="B15" s="885" t="s">
        <v>828</v>
      </c>
      <c r="C15" s="885"/>
      <c r="D15" s="885"/>
      <c r="E15" s="6"/>
      <c r="F15" s="6"/>
      <c r="G15" s="6"/>
      <c r="H15" s="6"/>
    </row>
    <row r="16" spans="1:8" s="4" customFormat="1" ht="22.5" x14ac:dyDescent="0.3">
      <c r="A16" s="827"/>
      <c r="B16" s="885" t="s">
        <v>842</v>
      </c>
      <c r="C16" s="885"/>
      <c r="D16" s="885"/>
      <c r="E16" s="6"/>
      <c r="F16" s="14"/>
      <c r="G16" s="886" t="s">
        <v>14</v>
      </c>
      <c r="H16" s="887"/>
    </row>
    <row r="17" spans="1:8" s="4" customFormat="1" ht="18.75" x14ac:dyDescent="0.3">
      <c r="A17" s="6"/>
      <c r="B17" s="6"/>
      <c r="C17" s="315"/>
      <c r="D17" s="315"/>
      <c r="E17" s="890" t="s">
        <v>15</v>
      </c>
      <c r="F17" s="890"/>
      <c r="G17" s="891">
        <f>[2]Титульный!B2</f>
        <v>44196</v>
      </c>
      <c r="H17" s="892"/>
    </row>
    <row r="18" spans="1:8" s="4" customFormat="1" ht="20.25" customHeight="1" x14ac:dyDescent="0.25">
      <c r="A18" s="897" t="s">
        <v>228</v>
      </c>
      <c r="B18" s="897" t="s">
        <v>225</v>
      </c>
      <c r="C18" s="897"/>
      <c r="D18" s="897"/>
      <c r="E18" s="890" t="s">
        <v>232</v>
      </c>
      <c r="F18" s="890"/>
      <c r="G18" s="893"/>
      <c r="H18" s="894"/>
    </row>
    <row r="19" spans="1:8" s="4" customFormat="1" ht="20.25" customHeight="1" x14ac:dyDescent="0.25">
      <c r="A19" s="897"/>
      <c r="B19" s="897"/>
      <c r="C19" s="897"/>
      <c r="D19" s="897"/>
      <c r="E19" s="890" t="s">
        <v>16</v>
      </c>
      <c r="F19" s="890"/>
      <c r="G19" s="895">
        <v>956</v>
      </c>
      <c r="H19" s="896"/>
    </row>
    <row r="20" spans="1:8" s="4" customFormat="1" ht="20.25" customHeight="1" x14ac:dyDescent="0.25">
      <c r="A20" s="897" t="s">
        <v>20</v>
      </c>
      <c r="B20" s="897" t="s">
        <v>472</v>
      </c>
      <c r="C20" s="897"/>
      <c r="D20" s="897"/>
      <c r="E20" s="890" t="s">
        <v>232</v>
      </c>
      <c r="F20" s="890"/>
      <c r="G20" s="893" t="s">
        <v>473</v>
      </c>
      <c r="H20" s="894"/>
    </row>
    <row r="21" spans="1:8" s="4" customFormat="1" ht="20.25" customHeight="1" x14ac:dyDescent="0.25">
      <c r="A21" s="897"/>
      <c r="B21" s="897"/>
      <c r="C21" s="897"/>
      <c r="D21" s="897"/>
      <c r="E21" s="890" t="s">
        <v>17</v>
      </c>
      <c r="F21" s="890"/>
      <c r="G21" s="888">
        <v>5190309989</v>
      </c>
      <c r="H21" s="889"/>
    </row>
    <row r="22" spans="1:8" s="4" customFormat="1" ht="20.25" customHeight="1" x14ac:dyDescent="0.25">
      <c r="A22" s="897"/>
      <c r="B22" s="900"/>
      <c r="C22" s="900"/>
      <c r="D22" s="900"/>
      <c r="E22" s="890" t="s">
        <v>18</v>
      </c>
      <c r="F22" s="890"/>
      <c r="G22" s="895">
        <v>519001001</v>
      </c>
      <c r="H22" s="896"/>
    </row>
    <row r="23" spans="1:8" s="4" customFormat="1" ht="20.25" customHeight="1" x14ac:dyDescent="0.25">
      <c r="A23" s="828" t="s">
        <v>229</v>
      </c>
      <c r="B23" s="897" t="s">
        <v>224</v>
      </c>
      <c r="C23" s="897"/>
      <c r="D23" s="897"/>
      <c r="E23" s="890" t="s">
        <v>19</v>
      </c>
      <c r="F23" s="890"/>
      <c r="G23" s="898">
        <v>383</v>
      </c>
      <c r="H23" s="899"/>
    </row>
    <row r="24" spans="1:8" s="4" customFormat="1" ht="20.25" customHeight="1" x14ac:dyDescent="0.25">
      <c r="A24" s="10"/>
      <c r="B24" s="9"/>
      <c r="C24" s="9"/>
      <c r="D24" s="9"/>
      <c r="E24" s="319"/>
      <c r="F24" s="319"/>
      <c r="G24" s="11"/>
      <c r="H24" s="11"/>
    </row>
  </sheetData>
  <mergeCells count="32">
    <mergeCell ref="C2:H2"/>
    <mergeCell ref="C3:H3"/>
    <mergeCell ref="C4:H4"/>
    <mergeCell ref="C6:H6"/>
    <mergeCell ref="C7:H7"/>
    <mergeCell ref="B14:D14"/>
    <mergeCell ref="C9:D9"/>
    <mergeCell ref="C10:D10"/>
    <mergeCell ref="E9:H9"/>
    <mergeCell ref="E10:H10"/>
    <mergeCell ref="G22:H22"/>
    <mergeCell ref="G23:H23"/>
    <mergeCell ref="E21:F21"/>
    <mergeCell ref="B20:D22"/>
    <mergeCell ref="A20:A22"/>
    <mergeCell ref="B23:D23"/>
    <mergeCell ref="G20:H20"/>
    <mergeCell ref="E20:F20"/>
    <mergeCell ref="E22:F22"/>
    <mergeCell ref="A18:A19"/>
    <mergeCell ref="B18:D19"/>
    <mergeCell ref="E23:F23"/>
    <mergeCell ref="E19:F19"/>
    <mergeCell ref="E18:F18"/>
    <mergeCell ref="B15:D15"/>
    <mergeCell ref="B16:D16"/>
    <mergeCell ref="G16:H16"/>
    <mergeCell ref="G21:H21"/>
    <mergeCell ref="E17:F17"/>
    <mergeCell ref="G17:H17"/>
    <mergeCell ref="G18:H18"/>
    <mergeCell ref="G19:H19"/>
  </mergeCells>
  <pageMargins left="0.31496062992125984" right="0.31496062992125984" top="0.74803149606299213" bottom="0.35433070866141736"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dimension ref="A1:K121"/>
  <sheetViews>
    <sheetView showZeros="0" view="pageBreakPreview" topLeftCell="A91" zoomScale="77" zoomScaleNormal="100" zoomScaleSheetLayoutView="77" workbookViewId="0">
      <selection activeCell="N12" sqref="N12"/>
    </sheetView>
  </sheetViews>
  <sheetFormatPr defaultColWidth="8.85546875" defaultRowHeight="12.75" x14ac:dyDescent="0.2"/>
  <cols>
    <col min="1" max="1" width="89.5703125" style="313" customWidth="1"/>
    <col min="2" max="4" width="12.140625" style="313" customWidth="1"/>
    <col min="5" max="5" width="16.5703125" style="313" customWidth="1"/>
    <col min="6" max="7" width="15.85546875" style="313" customWidth="1"/>
    <col min="8" max="16384" width="8.85546875" style="313"/>
  </cols>
  <sheetData>
    <row r="1" spans="1:8" s="4" customFormat="1" ht="18.75" x14ac:dyDescent="0.3">
      <c r="A1" s="925" t="s">
        <v>21</v>
      </c>
      <c r="B1" s="925"/>
      <c r="C1" s="925"/>
      <c r="D1" s="925"/>
      <c r="E1" s="925"/>
      <c r="F1" s="925"/>
      <c r="G1" s="925"/>
    </row>
    <row r="2" spans="1:8" s="4" customFormat="1" ht="18.75" x14ac:dyDescent="0.3">
      <c r="A2" s="3"/>
    </row>
    <row r="3" spans="1:8" s="13" customFormat="1" ht="46.5" customHeight="1" x14ac:dyDescent="0.25">
      <c r="A3" s="926" t="s">
        <v>0</v>
      </c>
      <c r="B3" s="927" t="s">
        <v>1</v>
      </c>
      <c r="C3" s="928" t="s">
        <v>233</v>
      </c>
      <c r="D3" s="929" t="s">
        <v>234</v>
      </c>
      <c r="E3" s="930" t="s">
        <v>5</v>
      </c>
      <c r="F3" s="930"/>
      <c r="G3" s="930"/>
    </row>
    <row r="4" spans="1:8" s="13" customFormat="1" ht="15.75" x14ac:dyDescent="0.25">
      <c r="A4" s="926"/>
      <c r="B4" s="927"/>
      <c r="C4" s="928"/>
      <c r="D4" s="929"/>
      <c r="E4" s="303">
        <v>2021</v>
      </c>
      <c r="F4" s="16">
        <v>2022</v>
      </c>
      <c r="G4" s="17">
        <v>2023</v>
      </c>
    </row>
    <row r="5" spans="1:8" s="13" customFormat="1" ht="47.25" x14ac:dyDescent="0.25">
      <c r="A5" s="926"/>
      <c r="B5" s="927"/>
      <c r="C5" s="928"/>
      <c r="D5" s="929"/>
      <c r="E5" s="303" t="s">
        <v>2</v>
      </c>
      <c r="F5" s="304" t="s">
        <v>3</v>
      </c>
      <c r="G5" s="305" t="s">
        <v>4</v>
      </c>
    </row>
    <row r="6" spans="1:8" s="13" customFormat="1" ht="16.5" customHeight="1" x14ac:dyDescent="0.25">
      <c r="A6" s="15" t="s">
        <v>6</v>
      </c>
      <c r="B6" s="20" t="s">
        <v>7</v>
      </c>
      <c r="C6" s="21" t="s">
        <v>8</v>
      </c>
      <c r="D6" s="30" t="s">
        <v>9</v>
      </c>
      <c r="E6" s="195" t="s">
        <v>10</v>
      </c>
      <c r="F6" s="196">
        <v>6</v>
      </c>
      <c r="G6" s="197">
        <v>7</v>
      </c>
    </row>
    <row r="7" spans="1:8" s="7" customFormat="1" ht="21.75" customHeight="1" x14ac:dyDescent="0.2">
      <c r="A7" s="36" t="s">
        <v>235</v>
      </c>
      <c r="B7" s="18" t="s">
        <v>22</v>
      </c>
      <c r="C7" s="19" t="s">
        <v>23</v>
      </c>
      <c r="D7" s="198" t="s">
        <v>23</v>
      </c>
      <c r="E7" s="199">
        <f>Титульный!G173+Титульный!G174+Титульный!G175</f>
        <v>568760.36</v>
      </c>
      <c r="F7" s="200">
        <v>0</v>
      </c>
      <c r="G7" s="201">
        <v>0</v>
      </c>
    </row>
    <row r="8" spans="1:8" s="7" customFormat="1" ht="21.75" customHeight="1" x14ac:dyDescent="0.2">
      <c r="A8" s="36" t="s">
        <v>236</v>
      </c>
      <c r="B8" s="18" t="s">
        <v>24</v>
      </c>
      <c r="C8" s="19" t="s">
        <v>23</v>
      </c>
      <c r="D8" s="198" t="s">
        <v>23</v>
      </c>
      <c r="E8" s="330">
        <f>ROUND(E7+E9-E37+E93-E97,2)</f>
        <v>0</v>
      </c>
      <c r="F8" s="202">
        <f>F7+F9-F37+F93-F97</f>
        <v>0</v>
      </c>
      <c r="G8" s="203">
        <f>G7+G9-G37+G93-G97</f>
        <v>0</v>
      </c>
    </row>
    <row r="9" spans="1:8" s="7" customFormat="1" ht="21.75" customHeight="1" x14ac:dyDescent="0.2">
      <c r="A9" s="36" t="s">
        <v>25</v>
      </c>
      <c r="B9" s="20" t="s">
        <v>26</v>
      </c>
      <c r="C9" s="21"/>
      <c r="D9" s="198"/>
      <c r="E9" s="204">
        <f>E10+E13+E17+E21+E25+E30+E34</f>
        <v>88286658</v>
      </c>
      <c r="F9" s="205">
        <f t="shared" ref="F9:G9" si="0">F10+F13+F17+F21+F25+F30+F34</f>
        <v>88829357</v>
      </c>
      <c r="G9" s="206">
        <f t="shared" si="0"/>
        <v>90228536</v>
      </c>
    </row>
    <row r="10" spans="1:8" s="7" customFormat="1" ht="33" customHeight="1" x14ac:dyDescent="0.2">
      <c r="A10" s="37" t="s">
        <v>27</v>
      </c>
      <c r="B10" s="22" t="s">
        <v>28</v>
      </c>
      <c r="C10" s="23" t="s">
        <v>29</v>
      </c>
      <c r="D10" s="207" t="s">
        <v>29</v>
      </c>
      <c r="E10" s="208">
        <f>E11</f>
        <v>0</v>
      </c>
      <c r="F10" s="209">
        <f>F11</f>
        <v>0</v>
      </c>
      <c r="G10" s="210">
        <f>G11</f>
        <v>0</v>
      </c>
    </row>
    <row r="11" spans="1:8" s="7" customFormat="1" ht="18.600000000000001" customHeight="1" x14ac:dyDescent="0.2">
      <c r="A11" s="285" t="s">
        <v>30</v>
      </c>
      <c r="B11" s="911" t="s">
        <v>31</v>
      </c>
      <c r="C11" s="913" t="s">
        <v>29</v>
      </c>
      <c r="D11" s="915" t="s">
        <v>322</v>
      </c>
      <c r="E11" s="923">
        <f>Титульный!E3</f>
        <v>0</v>
      </c>
      <c r="F11" s="924">
        <f>Титульный!F3</f>
        <v>0</v>
      </c>
      <c r="G11" s="910">
        <f>Титульный!G3</f>
        <v>0</v>
      </c>
    </row>
    <row r="12" spans="1:8" s="7" customFormat="1" ht="18.600000000000001" customHeight="1" x14ac:dyDescent="0.2">
      <c r="A12" s="290" t="s">
        <v>323</v>
      </c>
      <c r="B12" s="912"/>
      <c r="C12" s="914"/>
      <c r="D12" s="916"/>
      <c r="E12" s="923"/>
      <c r="F12" s="924"/>
      <c r="G12" s="910"/>
    </row>
    <row r="13" spans="1:8" s="7" customFormat="1" ht="21" customHeight="1" x14ac:dyDescent="0.2">
      <c r="A13" s="40" t="s">
        <v>32</v>
      </c>
      <c r="B13" s="24" t="s">
        <v>33</v>
      </c>
      <c r="C13" s="25" t="s">
        <v>34</v>
      </c>
      <c r="D13" s="217" t="s">
        <v>34</v>
      </c>
      <c r="E13" s="211">
        <f>SUM(E14:E16)</f>
        <v>80850160</v>
      </c>
      <c r="F13" s="212">
        <f>SUM(F14:F16)</f>
        <v>81317859</v>
      </c>
      <c r="G13" s="213">
        <f>SUM(G14:G16)</f>
        <v>82717038</v>
      </c>
    </row>
    <row r="14" spans="1:8" s="7" customFormat="1" ht="48" customHeight="1" x14ac:dyDescent="0.2">
      <c r="A14" s="38" t="s">
        <v>209</v>
      </c>
      <c r="B14" s="24" t="s">
        <v>35</v>
      </c>
      <c r="C14" s="25" t="s">
        <v>34</v>
      </c>
      <c r="D14" s="217" t="s">
        <v>324</v>
      </c>
      <c r="E14" s="214">
        <f>Титульный!E54</f>
        <v>80100160</v>
      </c>
      <c r="F14" s="215">
        <f>Титульный!F54</f>
        <v>80567859</v>
      </c>
      <c r="G14" s="216">
        <f>Титульный!G54</f>
        <v>81967038</v>
      </c>
      <c r="H14" s="7" t="s">
        <v>442</v>
      </c>
    </row>
    <row r="15" spans="1:8" s="7" customFormat="1" ht="34.15" customHeight="1" x14ac:dyDescent="0.2">
      <c r="A15" s="38" t="s">
        <v>325</v>
      </c>
      <c r="B15" s="24" t="s">
        <v>326</v>
      </c>
      <c r="C15" s="25" t="s">
        <v>34</v>
      </c>
      <c r="D15" s="217" t="s">
        <v>324</v>
      </c>
      <c r="E15" s="214">
        <f>Титульный!E4</f>
        <v>593000</v>
      </c>
      <c r="F15" s="215">
        <f>Титульный!F4</f>
        <v>593000</v>
      </c>
      <c r="G15" s="216">
        <f>Титульный!G4</f>
        <v>593000</v>
      </c>
      <c r="H15" s="7" t="s">
        <v>327</v>
      </c>
    </row>
    <row r="16" spans="1:8" s="7" customFormat="1" ht="26.45" customHeight="1" x14ac:dyDescent="0.2">
      <c r="A16" s="38" t="s">
        <v>328</v>
      </c>
      <c r="B16" s="24" t="s">
        <v>326</v>
      </c>
      <c r="C16" s="25" t="s">
        <v>34</v>
      </c>
      <c r="D16" s="217" t="s">
        <v>329</v>
      </c>
      <c r="E16" s="214">
        <f>Титульный!E5</f>
        <v>157000</v>
      </c>
      <c r="F16" s="215">
        <f>Титульный!F5</f>
        <v>157000</v>
      </c>
      <c r="G16" s="216">
        <f>Титульный!G5</f>
        <v>157000</v>
      </c>
      <c r="H16" s="7" t="s">
        <v>330</v>
      </c>
    </row>
    <row r="17" spans="1:8" s="7" customFormat="1" ht="21.75" customHeight="1" x14ac:dyDescent="0.2">
      <c r="A17" s="40" t="s">
        <v>36</v>
      </c>
      <c r="B17" s="24" t="s">
        <v>37</v>
      </c>
      <c r="C17" s="25" t="s">
        <v>38</v>
      </c>
      <c r="D17" s="217" t="s">
        <v>38</v>
      </c>
      <c r="E17" s="211">
        <f>SUM(E18:E20)</f>
        <v>0</v>
      </c>
      <c r="F17" s="212">
        <f t="shared" ref="F17:G17" si="1">SUM(F18:F20)</f>
        <v>0</v>
      </c>
      <c r="G17" s="213">
        <f t="shared" si="1"/>
        <v>0</v>
      </c>
    </row>
    <row r="18" spans="1:8" s="7" customFormat="1" ht="18" customHeight="1" x14ac:dyDescent="0.2">
      <c r="A18" s="285" t="s">
        <v>30</v>
      </c>
      <c r="B18" s="911" t="s">
        <v>39</v>
      </c>
      <c r="C18" s="913" t="s">
        <v>38</v>
      </c>
      <c r="D18" s="915" t="s">
        <v>331</v>
      </c>
      <c r="E18" s="917">
        <f>Титульный!E6</f>
        <v>0</v>
      </c>
      <c r="F18" s="919">
        <f>Титульный!F6</f>
        <v>0</v>
      </c>
      <c r="G18" s="921">
        <f>Титульный!G6</f>
        <v>0</v>
      </c>
    </row>
    <row r="19" spans="1:8" s="7" customFormat="1" ht="36" customHeight="1" x14ac:dyDescent="0.2">
      <c r="A19" s="290" t="s">
        <v>332</v>
      </c>
      <c r="B19" s="912"/>
      <c r="C19" s="914"/>
      <c r="D19" s="916"/>
      <c r="E19" s="918"/>
      <c r="F19" s="920"/>
      <c r="G19" s="922"/>
      <c r="H19" s="7" t="s">
        <v>333</v>
      </c>
    </row>
    <row r="20" spans="1:8" s="7" customFormat="1" ht="21.75" customHeight="1" x14ac:dyDescent="0.2">
      <c r="A20" s="38" t="s">
        <v>334</v>
      </c>
      <c r="B20" s="296" t="s">
        <v>335</v>
      </c>
      <c r="C20" s="297" t="s">
        <v>38</v>
      </c>
      <c r="D20" s="308" t="s">
        <v>336</v>
      </c>
      <c r="E20" s="301">
        <f>Титульный!E7</f>
        <v>0</v>
      </c>
      <c r="F20" s="302">
        <f>Титульный!F7</f>
        <v>0</v>
      </c>
      <c r="G20" s="295">
        <f>Титульный!G7</f>
        <v>0</v>
      </c>
      <c r="H20" s="7" t="s">
        <v>337</v>
      </c>
    </row>
    <row r="21" spans="1:8" s="7" customFormat="1" ht="21.75" customHeight="1" x14ac:dyDescent="0.2">
      <c r="A21" s="40" t="s">
        <v>40</v>
      </c>
      <c r="B21" s="24" t="s">
        <v>41</v>
      </c>
      <c r="C21" s="25" t="s">
        <v>42</v>
      </c>
      <c r="D21" s="217" t="s">
        <v>42</v>
      </c>
      <c r="E21" s="211">
        <f>SUM(E22:E24)</f>
        <v>750000</v>
      </c>
      <c r="F21" s="212">
        <f t="shared" ref="F21:G21" si="2">SUM(F22:F24)</f>
        <v>750000</v>
      </c>
      <c r="G21" s="213">
        <f t="shared" si="2"/>
        <v>750000</v>
      </c>
    </row>
    <row r="22" spans="1:8" s="7" customFormat="1" ht="18.600000000000001" customHeight="1" x14ac:dyDescent="0.2">
      <c r="A22" s="285" t="s">
        <v>30</v>
      </c>
      <c r="B22" s="911" t="s">
        <v>338</v>
      </c>
      <c r="C22" s="913" t="s">
        <v>42</v>
      </c>
      <c r="D22" s="915" t="s">
        <v>345</v>
      </c>
      <c r="E22" s="923">
        <f>Титульный!E8</f>
        <v>0</v>
      </c>
      <c r="F22" s="919">
        <f>Титульный!F8</f>
        <v>0</v>
      </c>
      <c r="G22" s="921">
        <f>Титульный!G8</f>
        <v>0</v>
      </c>
    </row>
    <row r="23" spans="1:8" s="7" customFormat="1" ht="21.75" customHeight="1" x14ac:dyDescent="0.2">
      <c r="A23" s="290" t="s">
        <v>339</v>
      </c>
      <c r="B23" s="912"/>
      <c r="C23" s="914"/>
      <c r="D23" s="916"/>
      <c r="E23" s="923"/>
      <c r="F23" s="920"/>
      <c r="G23" s="922"/>
      <c r="H23" s="7" t="s">
        <v>340</v>
      </c>
    </row>
    <row r="24" spans="1:8" s="7" customFormat="1" ht="35.25" customHeight="1" x14ac:dyDescent="0.25">
      <c r="A24" s="309" t="s">
        <v>341</v>
      </c>
      <c r="B24" s="296" t="s">
        <v>342</v>
      </c>
      <c r="C24" s="297" t="s">
        <v>42</v>
      </c>
      <c r="D24" s="308" t="s">
        <v>343</v>
      </c>
      <c r="E24" s="301">
        <f>Титульный!E9</f>
        <v>750000</v>
      </c>
      <c r="F24" s="302">
        <f>Титульный!F9</f>
        <v>750000</v>
      </c>
      <c r="G24" s="295">
        <f>Титульный!G9</f>
        <v>750000</v>
      </c>
      <c r="H24" s="7" t="s">
        <v>344</v>
      </c>
    </row>
    <row r="25" spans="1:8" s="7" customFormat="1" ht="21.75" customHeight="1" x14ac:dyDescent="0.2">
      <c r="A25" s="40" t="s">
        <v>43</v>
      </c>
      <c r="B25" s="24" t="s">
        <v>44</v>
      </c>
      <c r="C25" s="328" t="s">
        <v>45</v>
      </c>
      <c r="D25" s="217"/>
      <c r="E25" s="218">
        <f>SUM(E26:E29)</f>
        <v>6686498</v>
      </c>
      <c r="F25" s="219">
        <f t="shared" ref="F25:G25" si="3">SUM(F26:F29)</f>
        <v>6761498</v>
      </c>
      <c r="G25" s="220">
        <f t="shared" si="3"/>
        <v>6761498</v>
      </c>
    </row>
    <row r="26" spans="1:8" s="7" customFormat="1" ht="14.45" customHeight="1" x14ac:dyDescent="0.2">
      <c r="A26" s="285" t="s">
        <v>30</v>
      </c>
      <c r="B26" s="931" t="s">
        <v>46</v>
      </c>
      <c r="C26" s="933" t="s">
        <v>42</v>
      </c>
      <c r="D26" s="935" t="s">
        <v>345</v>
      </c>
      <c r="E26" s="276"/>
      <c r="F26" s="277"/>
      <c r="G26" s="278"/>
    </row>
    <row r="27" spans="1:8" s="7" customFormat="1" ht="21.75" customHeight="1" x14ac:dyDescent="0.2">
      <c r="A27" s="287" t="s">
        <v>474</v>
      </c>
      <c r="B27" s="932"/>
      <c r="C27" s="934"/>
      <c r="D27" s="936"/>
      <c r="E27" s="286">
        <f>Титульный!E128</f>
        <v>6686498</v>
      </c>
      <c r="F27" s="299">
        <f>Титульный!F128</f>
        <v>6761498</v>
      </c>
      <c r="G27" s="300">
        <f>Титульный!G128</f>
        <v>6761498</v>
      </c>
      <c r="H27" s="7" t="s">
        <v>346</v>
      </c>
    </row>
    <row r="28" spans="1:8" s="7" customFormat="1" ht="21.75" customHeight="1" x14ac:dyDescent="0.2">
      <c r="A28" s="41" t="s">
        <v>47</v>
      </c>
      <c r="B28" s="24" t="s">
        <v>48</v>
      </c>
      <c r="C28" s="328" t="s">
        <v>42</v>
      </c>
      <c r="D28" s="217" t="s">
        <v>347</v>
      </c>
      <c r="E28" s="279"/>
      <c r="F28" s="280"/>
      <c r="G28" s="281"/>
    </row>
    <row r="29" spans="1:8" s="7" customFormat="1" ht="21.75" customHeight="1" x14ac:dyDescent="0.2">
      <c r="A29" s="39"/>
      <c r="B29" s="24"/>
      <c r="C29" s="25"/>
      <c r="D29" s="217"/>
      <c r="E29" s="211"/>
      <c r="F29" s="212"/>
      <c r="G29" s="213"/>
    </row>
    <row r="30" spans="1:8" s="7" customFormat="1" ht="21.75" customHeight="1" x14ac:dyDescent="0.2">
      <c r="A30" s="40" t="s">
        <v>49</v>
      </c>
      <c r="B30" s="24" t="s">
        <v>50</v>
      </c>
      <c r="C30" s="25" t="s">
        <v>348</v>
      </c>
      <c r="D30" s="217" t="s">
        <v>348</v>
      </c>
      <c r="E30" s="211">
        <f>SUM(E31:E33)</f>
        <v>0</v>
      </c>
      <c r="F30" s="212">
        <f t="shared" ref="F30:G30" si="4">SUM(F31:F33)</f>
        <v>0</v>
      </c>
      <c r="G30" s="213">
        <f t="shared" si="4"/>
        <v>0</v>
      </c>
    </row>
    <row r="31" spans="1:8" s="7" customFormat="1" ht="19.899999999999999" customHeight="1" x14ac:dyDescent="0.2">
      <c r="A31" s="38" t="s">
        <v>30</v>
      </c>
      <c r="B31" s="911" t="s">
        <v>349</v>
      </c>
      <c r="C31" s="913" t="s">
        <v>348</v>
      </c>
      <c r="D31" s="915" t="s">
        <v>350</v>
      </c>
      <c r="E31" s="937"/>
      <c r="F31" s="938"/>
      <c r="G31" s="939"/>
    </row>
    <row r="32" spans="1:8" s="7" customFormat="1" ht="21.75" customHeight="1" x14ac:dyDescent="0.25">
      <c r="A32" s="309" t="s">
        <v>351</v>
      </c>
      <c r="B32" s="912"/>
      <c r="C32" s="914"/>
      <c r="D32" s="916"/>
      <c r="E32" s="937"/>
      <c r="F32" s="938"/>
      <c r="G32" s="939"/>
      <c r="H32" s="7" t="s">
        <v>352</v>
      </c>
    </row>
    <row r="33" spans="1:10" s="7" customFormat="1" ht="21.75" customHeight="1" x14ac:dyDescent="0.25">
      <c r="A33" s="309" t="s">
        <v>353</v>
      </c>
      <c r="B33" s="24" t="s">
        <v>354</v>
      </c>
      <c r="C33" s="25" t="s">
        <v>348</v>
      </c>
      <c r="D33" s="217" t="s">
        <v>355</v>
      </c>
      <c r="E33" s="214"/>
      <c r="F33" s="215"/>
      <c r="G33" s="216"/>
      <c r="H33" s="7" t="s">
        <v>356</v>
      </c>
    </row>
    <row r="34" spans="1:10" s="7" customFormat="1" ht="21.75" customHeight="1" x14ac:dyDescent="0.2">
      <c r="A34" s="40" t="s">
        <v>237</v>
      </c>
      <c r="B34" s="24" t="s">
        <v>51</v>
      </c>
      <c r="C34" s="25" t="s">
        <v>23</v>
      </c>
      <c r="D34" s="217"/>
      <c r="E34" s="211">
        <f>E35</f>
        <v>0</v>
      </c>
      <c r="F34" s="212">
        <f t="shared" ref="F34:G34" si="5">F35</f>
        <v>0</v>
      </c>
      <c r="G34" s="213">
        <f t="shared" si="5"/>
        <v>0</v>
      </c>
    </row>
    <row r="35" spans="1:10" s="7" customFormat="1" ht="48" customHeight="1" x14ac:dyDescent="0.2">
      <c r="A35" s="38" t="s">
        <v>52</v>
      </c>
      <c r="B35" s="24" t="s">
        <v>53</v>
      </c>
      <c r="C35" s="25" t="s">
        <v>54</v>
      </c>
      <c r="D35" s="217" t="s">
        <v>54</v>
      </c>
      <c r="E35" s="282">
        <f>Титульный!G179+Титульный!G180+Титульный!G181</f>
        <v>0</v>
      </c>
      <c r="F35" s="283"/>
      <c r="G35" s="284"/>
    </row>
    <row r="36" spans="1:10" s="7" customFormat="1" ht="21.75" customHeight="1" x14ac:dyDescent="0.2">
      <c r="A36" s="42"/>
      <c r="B36" s="26"/>
      <c r="C36" s="27"/>
      <c r="D36" s="224"/>
      <c r="E36" s="225"/>
      <c r="F36" s="226"/>
      <c r="G36" s="227"/>
    </row>
    <row r="37" spans="1:10" s="63" customFormat="1" ht="21.75" customHeight="1" x14ac:dyDescent="0.2">
      <c r="A37" s="62" t="s">
        <v>55</v>
      </c>
      <c r="B37" s="28" t="s">
        <v>56</v>
      </c>
      <c r="C37" s="29" t="s">
        <v>23</v>
      </c>
      <c r="D37" s="228"/>
      <c r="E37" s="229">
        <f>E38+E54+E62+E66+E70+E72</f>
        <v>88855418.359999999</v>
      </c>
      <c r="F37" s="230">
        <f>F38+F54+F62+F66+F70+F72</f>
        <v>88829357</v>
      </c>
      <c r="G37" s="231">
        <f>G38+G54+G62+G66+G70+G72</f>
        <v>90228536</v>
      </c>
      <c r="J37" s="822">
        <f>E37-Титульный!R10-Титульный!R130-Титульный!R57</f>
        <v>0</v>
      </c>
    </row>
    <row r="38" spans="1:10" s="7" customFormat="1" ht="33" customHeight="1" x14ac:dyDescent="0.2">
      <c r="A38" s="40" t="s">
        <v>57</v>
      </c>
      <c r="B38" s="24" t="s">
        <v>58</v>
      </c>
      <c r="C38" s="25" t="s">
        <v>23</v>
      </c>
      <c r="D38" s="217" t="s">
        <v>357</v>
      </c>
      <c r="E38" s="232">
        <f>E39+E42+E47+E48+E51</f>
        <v>75944559.700000003</v>
      </c>
      <c r="F38" s="212">
        <f t="shared" ref="F38:G38" si="6">F39+F42+F47+F48+F51</f>
        <v>76414542</v>
      </c>
      <c r="G38" s="213">
        <f t="shared" si="6"/>
        <v>77832015</v>
      </c>
    </row>
    <row r="39" spans="1:10" s="7" customFormat="1" ht="33" customHeight="1" x14ac:dyDescent="0.2">
      <c r="A39" s="38" t="s">
        <v>59</v>
      </c>
      <c r="B39" s="24" t="s">
        <v>60</v>
      </c>
      <c r="C39" s="25" t="s">
        <v>61</v>
      </c>
      <c r="D39" s="217" t="s">
        <v>357</v>
      </c>
      <c r="E39" s="232">
        <f>SUM(E40:E41)</f>
        <v>57452199.289999999</v>
      </c>
      <c r="F39" s="212">
        <f t="shared" ref="F39:G39" si="7">SUM(F40:F41)</f>
        <v>57837844</v>
      </c>
      <c r="G39" s="213">
        <f t="shared" si="7"/>
        <v>58926531</v>
      </c>
    </row>
    <row r="40" spans="1:10" s="7" customFormat="1" ht="33" customHeight="1" x14ac:dyDescent="0.2">
      <c r="A40" s="38" t="s">
        <v>358</v>
      </c>
      <c r="B40" s="24" t="s">
        <v>359</v>
      </c>
      <c r="C40" s="25" t="s">
        <v>61</v>
      </c>
      <c r="D40" s="217" t="s">
        <v>360</v>
      </c>
      <c r="E40" s="214">
        <f>SUMIFS(Титульный!$E$13:$E$157,Титульный!$B$13:$B$157,'2'!C40,Титульный!$D$13:$D$157,'2'!D40)</f>
        <v>57452199.289999999</v>
      </c>
      <c r="F40" s="215">
        <f>SUMIFS(Титульный!$F$13:$F$157,Титульный!$B$13:$B$157,'2'!C40,Титульный!$D$13:$D$157,'2'!D40)</f>
        <v>57837844</v>
      </c>
      <c r="G40" s="216">
        <f>SUMIFS(Титульный!$G$13:$G$157,Титульный!$B$13:$B$157,'2'!C40,Титульный!$D$13:$D$157,'2'!D40)</f>
        <v>58926531</v>
      </c>
    </row>
    <row r="41" spans="1:10" s="7" customFormat="1" ht="21" customHeight="1" x14ac:dyDescent="0.2">
      <c r="A41" s="38" t="s">
        <v>361</v>
      </c>
      <c r="B41" s="24" t="s">
        <v>362</v>
      </c>
      <c r="C41" s="25" t="s">
        <v>61</v>
      </c>
      <c r="D41" s="217" t="s">
        <v>363</v>
      </c>
      <c r="E41" s="214">
        <f>SUMIFS(Титульный!$E$13:$E$157,Титульный!$B$13:$B$157,'2'!C41,Титульный!$D$13:$D$157,'2'!D41)</f>
        <v>0</v>
      </c>
      <c r="F41" s="215">
        <f>SUMIFS(Титульный!$F$13:$F$157,Титульный!$B$13:$B$157,'2'!C41,Титульный!$D$13:$D$157,'2'!D41)</f>
        <v>0</v>
      </c>
      <c r="G41" s="215">
        <f>SUMIFS(Титульный!$G$13:$G$157,Титульный!$B$13:$B$157,'2'!C41,Титульный!$D$13:$D$157,'2'!D41)</f>
        <v>0</v>
      </c>
      <c r="H41" s="7" t="s">
        <v>364</v>
      </c>
    </row>
    <row r="42" spans="1:10" s="7" customFormat="1" ht="21" customHeight="1" x14ac:dyDescent="0.2">
      <c r="A42" s="38" t="s">
        <v>62</v>
      </c>
      <c r="B42" s="24" t="s">
        <v>63</v>
      </c>
      <c r="C42" s="25" t="s">
        <v>64</v>
      </c>
      <c r="D42" s="217" t="s">
        <v>357</v>
      </c>
      <c r="E42" s="232">
        <f>SUM(E43:E46)</f>
        <v>1176214.6299999999</v>
      </c>
      <c r="F42" s="233">
        <f t="shared" ref="F42:G42" si="8">SUM(F43:F46)</f>
        <v>1175728</v>
      </c>
      <c r="G42" s="234">
        <f t="shared" si="8"/>
        <v>1175728</v>
      </c>
    </row>
    <row r="43" spans="1:10" s="7" customFormat="1" ht="36" customHeight="1" x14ac:dyDescent="0.2">
      <c r="A43" s="38" t="s">
        <v>365</v>
      </c>
      <c r="B43" s="24" t="s">
        <v>366</v>
      </c>
      <c r="C43" s="25" t="s">
        <v>64</v>
      </c>
      <c r="D43" s="217" t="s">
        <v>367</v>
      </c>
      <c r="E43" s="214">
        <f>SUMIFS(Титульный!$E$13:$E$157,Титульный!$B$13:$B$157,'2'!C43,Титульный!$D$13:$D$157,'2'!D43)</f>
        <v>114648</v>
      </c>
      <c r="F43" s="215">
        <f>SUMIFS(Титульный!$F$13:$F$157,Титульный!$B$13:$B$157,'2'!C43,Титульный!$D$13:$D$157,'2'!D43)</f>
        <v>114648</v>
      </c>
      <c r="G43" s="216">
        <f>SUMIFS(Титульный!$G$13:$G$157,Титульный!$B$13:$B$157,'2'!C43,Титульный!$D$13:$D$157,'2'!D43)</f>
        <v>114648</v>
      </c>
      <c r="H43" s="7" t="s">
        <v>368</v>
      </c>
    </row>
    <row r="44" spans="1:10" s="7" customFormat="1" ht="21" customHeight="1" x14ac:dyDescent="0.2">
      <c r="A44" s="38" t="s">
        <v>369</v>
      </c>
      <c r="B44" s="24" t="s">
        <v>370</v>
      </c>
      <c r="C44" s="25" t="s">
        <v>64</v>
      </c>
      <c r="D44" s="217" t="s">
        <v>371</v>
      </c>
      <c r="E44" s="214">
        <f>SUMIFS(Титульный!$E$13:$E$157,Титульный!$B$13:$B$157,'2'!C44,Титульный!$D$13:$D$157,'2'!D44)</f>
        <v>1041408.63</v>
      </c>
      <c r="F44" s="215">
        <f>SUMIFS(Титульный!$F$13:$F$157,Титульный!$B$13:$B$157,'2'!C44,Титульный!$D$13:$D$157,'2'!D44)</f>
        <v>1040922</v>
      </c>
      <c r="G44" s="216">
        <f>SUMIFS(Титульный!$G$13:$G$157,Титульный!$B$13:$B$157,'2'!C44,Титульный!$D$13:$D$157,'2'!D44)</f>
        <v>1040922</v>
      </c>
      <c r="H44" s="7" t="s">
        <v>372</v>
      </c>
    </row>
    <row r="45" spans="1:10" s="7" customFormat="1" ht="21" customHeight="1" x14ac:dyDescent="0.2">
      <c r="A45" s="38" t="s">
        <v>373</v>
      </c>
      <c r="B45" s="24" t="s">
        <v>374</v>
      </c>
      <c r="C45" s="25" t="s">
        <v>64</v>
      </c>
      <c r="D45" s="217" t="s">
        <v>375</v>
      </c>
      <c r="E45" s="214">
        <f>SUMIFS(Титульный!$E$13:$E$157,Титульный!$B$13:$B$157,'2'!C45,Титульный!$D$13:$D$157,'2'!D45)</f>
        <v>20158</v>
      </c>
      <c r="F45" s="215">
        <f>SUMIFS(Титульный!$F$13:$F$157,Титульный!$B$13:$B$157,'2'!C45,Титульный!$D$13:$D$157,'2'!D45)</f>
        <v>20158</v>
      </c>
      <c r="G45" s="216">
        <f>SUMIFS(Титульный!$G$13:$G$157,Титульный!$B$13:$B$157,'2'!C45,Титульный!$D$13:$D$157,'2'!D45)</f>
        <v>20158</v>
      </c>
      <c r="H45" s="7" t="s">
        <v>376</v>
      </c>
    </row>
    <row r="46" spans="1:10" s="7" customFormat="1" ht="21" customHeight="1" x14ac:dyDescent="0.2">
      <c r="A46" s="38" t="s">
        <v>377</v>
      </c>
      <c r="B46" s="24" t="s">
        <v>378</v>
      </c>
      <c r="C46" s="25" t="s">
        <v>64</v>
      </c>
      <c r="D46" s="217" t="s">
        <v>363</v>
      </c>
      <c r="E46" s="214">
        <f>SUMIFS(Титульный!$E$13:$E$157,Титульный!$B$13:$B$157,'2'!C46,Титульный!$D$13:$D$157,'2'!D46)</f>
        <v>0</v>
      </c>
      <c r="F46" s="215">
        <f>SUMIFS(Титульный!$F$13:$F$157,Титульный!$B$13:$B$157,'2'!C46,Титульный!$D$13:$D$157,'2'!D46)</f>
        <v>0</v>
      </c>
      <c r="G46" s="216">
        <f>SUMIFS(Титульный!$G$13:$G$157,Титульный!$B$13:$B$157,'2'!C46,Титульный!$D$13:$D$157,'2'!D46)</f>
        <v>0</v>
      </c>
      <c r="H46" s="7" t="s">
        <v>379</v>
      </c>
    </row>
    <row r="47" spans="1:10" s="7" customFormat="1" ht="33" customHeight="1" x14ac:dyDescent="0.2">
      <c r="A47" s="38" t="s">
        <v>65</v>
      </c>
      <c r="B47" s="24" t="s">
        <v>66</v>
      </c>
      <c r="C47" s="25" t="s">
        <v>67</v>
      </c>
      <c r="D47" s="217" t="s">
        <v>375</v>
      </c>
      <c r="E47" s="232">
        <f>SUMIFS(Титульный!$E$13:$E$157,Титульный!$B$13:$B$157,'2'!C47,Титульный!$D$13:$D$157,'2'!D47)</f>
        <v>27848</v>
      </c>
      <c r="F47" s="212">
        <f>SUMIFS(Титульный!$F$13:$F$157,Титульный!$B$13:$B$157,'2'!C47,Титульный!$D$13:$D$157,'2'!D47)</f>
        <v>0</v>
      </c>
      <c r="G47" s="213">
        <f>SUMIFS(Титульный!$G$13:$G$157,Титульный!$B$13:$B$157,'2'!C47,Титульный!$D$13:$D$157,'2'!D47)</f>
        <v>0</v>
      </c>
      <c r="H47" s="7" t="s">
        <v>380</v>
      </c>
    </row>
    <row r="48" spans="1:10" s="7" customFormat="1" ht="33" customHeight="1" x14ac:dyDescent="0.2">
      <c r="A48" s="38" t="s">
        <v>68</v>
      </c>
      <c r="B48" s="24" t="s">
        <v>69</v>
      </c>
      <c r="C48" s="25" t="s">
        <v>70</v>
      </c>
      <c r="D48" s="217" t="s">
        <v>381</v>
      </c>
      <c r="E48" s="232">
        <f>SUM(E49:E50)</f>
        <v>17288297.780000001</v>
      </c>
      <c r="F48" s="212">
        <f>SUM(F49:F50)</f>
        <v>17400970</v>
      </c>
      <c r="G48" s="213">
        <f t="shared" ref="G48" si="9">SUM(G49:G50)</f>
        <v>17729756</v>
      </c>
    </row>
    <row r="49" spans="1:11" s="7" customFormat="1" ht="33" customHeight="1" x14ac:dyDescent="0.2">
      <c r="A49" s="41" t="s">
        <v>71</v>
      </c>
      <c r="B49" s="24" t="s">
        <v>72</v>
      </c>
      <c r="C49" s="25" t="s">
        <v>70</v>
      </c>
      <c r="D49" s="217" t="s">
        <v>381</v>
      </c>
      <c r="E49" s="214">
        <f>SUMIFS(Титульный!$E$13:$E$157,Титульный!$B$13:$B$157,'2'!C49,Титульный!$D$13:$D$157,'2'!D49)</f>
        <v>17288297.780000001</v>
      </c>
      <c r="F49" s="215">
        <f>SUMIFS(Титульный!$F$13:$F$157,Титульный!$B$13:$B$157,'2'!C49,Титульный!$D$13:$D$157,'2'!D49)</f>
        <v>17400970</v>
      </c>
      <c r="G49" s="216">
        <f>SUMIFS(Титульный!$G$13:$G$157,Титульный!$B$13:$B$157,'2'!C49,Титульный!$D$13:$D$157,'2'!D49)</f>
        <v>17729756</v>
      </c>
      <c r="H49" s="7" t="s">
        <v>382</v>
      </c>
    </row>
    <row r="50" spans="1:11" s="7" customFormat="1" ht="21.75" customHeight="1" x14ac:dyDescent="0.2">
      <c r="A50" s="41" t="s">
        <v>73</v>
      </c>
      <c r="B50" s="24" t="s">
        <v>74</v>
      </c>
      <c r="C50" s="25" t="s">
        <v>70</v>
      </c>
      <c r="D50" s="217" t="s">
        <v>451</v>
      </c>
      <c r="E50" s="214">
        <f>Титульный!E138</f>
        <v>0</v>
      </c>
      <c r="F50" s="215">
        <f>Титульный!F138</f>
        <v>0</v>
      </c>
      <c r="G50" s="216">
        <f>Титульный!G138</f>
        <v>0</v>
      </c>
      <c r="H50" s="7" t="s">
        <v>383</v>
      </c>
    </row>
    <row r="51" spans="1:11" s="7" customFormat="1" ht="33" customHeight="1" x14ac:dyDescent="0.2">
      <c r="A51" s="38" t="s">
        <v>75</v>
      </c>
      <c r="B51" s="24" t="s">
        <v>76</v>
      </c>
      <c r="C51" s="25" t="s">
        <v>77</v>
      </c>
      <c r="D51" s="217"/>
      <c r="E51" s="211"/>
      <c r="F51" s="212"/>
      <c r="G51" s="213"/>
    </row>
    <row r="52" spans="1:11" s="7" customFormat="1" ht="33" customHeight="1" x14ac:dyDescent="0.2">
      <c r="A52" s="41" t="s">
        <v>78</v>
      </c>
      <c r="B52" s="24" t="s">
        <v>79</v>
      </c>
      <c r="C52" s="25" t="s">
        <v>77</v>
      </c>
      <c r="D52" s="217"/>
      <c r="E52" s="211"/>
      <c r="F52" s="212"/>
      <c r="G52" s="213"/>
    </row>
    <row r="53" spans="1:11" s="7" customFormat="1" ht="21.75" customHeight="1" x14ac:dyDescent="0.2">
      <c r="A53" s="41" t="s">
        <v>80</v>
      </c>
      <c r="B53" s="24" t="s">
        <v>81</v>
      </c>
      <c r="C53" s="25" t="s">
        <v>77</v>
      </c>
      <c r="D53" s="217"/>
      <c r="E53" s="211"/>
      <c r="F53" s="212"/>
      <c r="G53" s="213"/>
    </row>
    <row r="54" spans="1:11" s="7" customFormat="1" ht="21.75" customHeight="1" x14ac:dyDescent="0.2">
      <c r="A54" s="40" t="s">
        <v>82</v>
      </c>
      <c r="B54" s="24" t="s">
        <v>83</v>
      </c>
      <c r="C54" s="25" t="s">
        <v>84</v>
      </c>
      <c r="D54" s="217"/>
      <c r="E54" s="232">
        <f>E55+E59+E60+E61</f>
        <v>0</v>
      </c>
      <c r="F54" s="212">
        <f t="shared" ref="F54:G54" si="10">F55+F59+F60+F61</f>
        <v>0</v>
      </c>
      <c r="G54" s="213">
        <f t="shared" si="10"/>
        <v>0</v>
      </c>
    </row>
    <row r="55" spans="1:11" s="7" customFormat="1" ht="33.75" customHeight="1" x14ac:dyDescent="0.2">
      <c r="A55" s="38" t="s">
        <v>85</v>
      </c>
      <c r="B55" s="24" t="s">
        <v>86</v>
      </c>
      <c r="C55" s="25" t="s">
        <v>87</v>
      </c>
      <c r="D55" s="217"/>
      <c r="E55" s="211">
        <f>SUM(E56:E58)</f>
        <v>0</v>
      </c>
      <c r="F55" s="212">
        <f>SUM(F56:F58)</f>
        <v>0</v>
      </c>
      <c r="G55" s="213">
        <f>SUM(G56:G58)</f>
        <v>0</v>
      </c>
    </row>
    <row r="56" spans="1:11" s="7" customFormat="1" ht="33.75" customHeight="1" x14ac:dyDescent="0.2">
      <c r="A56" s="41" t="s">
        <v>444</v>
      </c>
      <c r="B56" s="24" t="s">
        <v>88</v>
      </c>
      <c r="C56" s="25" t="s">
        <v>89</v>
      </c>
      <c r="D56" s="217" t="s">
        <v>439</v>
      </c>
      <c r="E56" s="214">
        <f>SUMIFS(Титульный!$E$13:$E$157,Титульный!$B$13:$B$157,'2'!C56,Титульный!$D$13:$D$157,'2'!D56)</f>
        <v>0</v>
      </c>
      <c r="F56" s="215">
        <f>SUMIFS(Титульный!$F$13:$F$157,Титульный!$B$13:$B$157,'2'!C56,Титульный!$D$13:$D$157,'2'!D56)</f>
        <v>0</v>
      </c>
      <c r="G56" s="216">
        <f>SUMIFS(Титульный!$G$13:$G$157,Титульный!$B$13:$B$157,'2'!C56,Титульный!$D$13:$D$157,'2'!D56)</f>
        <v>0</v>
      </c>
      <c r="H56" s="7" t="s">
        <v>443</v>
      </c>
    </row>
    <row r="57" spans="1:11" s="7" customFormat="1" ht="39" customHeight="1" x14ac:dyDescent="0.2">
      <c r="A57" s="294" t="s">
        <v>450</v>
      </c>
      <c r="B57" s="24" t="s">
        <v>88</v>
      </c>
      <c r="C57" s="25" t="s">
        <v>89</v>
      </c>
      <c r="D57" s="217" t="s">
        <v>436</v>
      </c>
      <c r="E57" s="214">
        <f>SUMIFS(Титульный!$E$13:$E$157,Титульный!$B$13:$B$157,'2'!C57,Титульный!$D$13:$D$157,'2'!D57)</f>
        <v>0</v>
      </c>
      <c r="F57" s="215">
        <f>SUMIFS(Титульный!$F$13:$F$157,Титульный!$B$13:$B$157,'2'!C57,Титульный!$D$13:$D$157,'2'!D57)</f>
        <v>0</v>
      </c>
      <c r="G57" s="216">
        <f>SUMIFS(Титульный!$G$13:$G$157,Титульный!$B$13:$B$157,'2'!C57,Титульный!$D$13:$D$157,'2'!D57)</f>
        <v>0</v>
      </c>
      <c r="H57" s="7" t="s">
        <v>281</v>
      </c>
    </row>
    <row r="58" spans="1:11" s="7" customFormat="1" ht="37.15" customHeight="1" x14ac:dyDescent="0.2">
      <c r="A58" s="38" t="s">
        <v>445</v>
      </c>
      <c r="B58" s="24" t="s">
        <v>88</v>
      </c>
      <c r="C58" s="25" t="s">
        <v>89</v>
      </c>
      <c r="D58" s="217" t="s">
        <v>446</v>
      </c>
      <c r="E58" s="214">
        <f>SUMIFS(Титульный!$E$13:$E$157,Титульный!$B$13:$B$157,'2'!C58,Титульный!$D$13:$D$157,'2'!D58)</f>
        <v>0</v>
      </c>
      <c r="F58" s="215">
        <f>SUMIFS(Титульный!$F$13:$F$157,Титульный!$B$13:$B$157,'2'!C58,Титульный!$D$13:$D$157,'2'!D58)</f>
        <v>0</v>
      </c>
      <c r="G58" s="216">
        <f>SUMIFS(Титульный!$G$13:$G$157,Титульный!$B$13:$B$157,'2'!C58,Титульный!$D$13:$D$157,'2'!D58)</f>
        <v>0</v>
      </c>
      <c r="H58" s="7" t="s">
        <v>447</v>
      </c>
    </row>
    <row r="59" spans="1:11" s="7" customFormat="1" ht="33" customHeight="1" x14ac:dyDescent="0.2">
      <c r="A59" s="38" t="s">
        <v>90</v>
      </c>
      <c r="B59" s="24" t="s">
        <v>91</v>
      </c>
      <c r="C59" s="25" t="s">
        <v>92</v>
      </c>
      <c r="D59" s="217"/>
      <c r="E59" s="211"/>
      <c r="F59" s="212"/>
      <c r="G59" s="213"/>
    </row>
    <row r="60" spans="1:11" s="7" customFormat="1" ht="48" customHeight="1" x14ac:dyDescent="0.2">
      <c r="A60" s="38" t="s">
        <v>93</v>
      </c>
      <c r="B60" s="24" t="s">
        <v>94</v>
      </c>
      <c r="C60" s="25" t="s">
        <v>95</v>
      </c>
      <c r="D60" s="217" t="s">
        <v>435</v>
      </c>
      <c r="E60" s="214">
        <f>SUMIFS(Титульный!$E$13:$E$157,Титульный!$B$13:$B$157,'2'!C60,Титульный!$D$13:$D$157,'2'!D60)</f>
        <v>0</v>
      </c>
      <c r="F60" s="215">
        <f>SUMIFS(Титульный!$F$13:$F$157,Титульный!$B$13:$B$157,'2'!C60,Титульный!$D$13:$D$157,'2'!D60)</f>
        <v>0</v>
      </c>
      <c r="G60" s="216">
        <f>SUMIFS(Титульный!$G$13:$G$157,Титульный!$B$13:$B$157,'2'!C60,Титульный!$D$13:$D$157,'2'!D60)</f>
        <v>0</v>
      </c>
    </row>
    <row r="61" spans="1:11" s="7" customFormat="1" ht="21.75" customHeight="1" x14ac:dyDescent="0.2">
      <c r="A61" s="38" t="s">
        <v>96</v>
      </c>
      <c r="B61" s="24" t="s">
        <v>97</v>
      </c>
      <c r="C61" s="25" t="s">
        <v>98</v>
      </c>
      <c r="D61" s="217"/>
      <c r="E61" s="211"/>
      <c r="F61" s="212"/>
      <c r="G61" s="213"/>
    </row>
    <row r="62" spans="1:11" s="7" customFormat="1" ht="21.75" customHeight="1" x14ac:dyDescent="0.2">
      <c r="A62" s="40" t="s">
        <v>99</v>
      </c>
      <c r="B62" s="24" t="s">
        <v>100</v>
      </c>
      <c r="C62" s="25" t="s">
        <v>101</v>
      </c>
      <c r="D62" s="217"/>
      <c r="E62" s="232">
        <f>SUM(E63:E65)</f>
        <v>2163190</v>
      </c>
      <c r="F62" s="212">
        <f>SUM(F63:F65)</f>
        <v>2144896</v>
      </c>
      <c r="G62" s="213">
        <f>SUM(G63:G65)</f>
        <v>2126602</v>
      </c>
    </row>
    <row r="63" spans="1:11" s="7" customFormat="1" ht="33" customHeight="1" x14ac:dyDescent="0.2">
      <c r="A63" s="38" t="s">
        <v>102</v>
      </c>
      <c r="B63" s="24" t="s">
        <v>103</v>
      </c>
      <c r="C63" s="25" t="s">
        <v>104</v>
      </c>
      <c r="D63" s="217" t="s">
        <v>448</v>
      </c>
      <c r="E63" s="214">
        <f>SUMIFS(Титульный!$E$13:$E$157,Титульный!$B$13:$B$157,'2'!C63,Титульный!$D$13:$D$157,"&gt;290",Титульный!$D$13:$D$157,"&lt;297")</f>
        <v>2160190</v>
      </c>
      <c r="F63" s="215">
        <f>SUMIFS(Титульный!$F$13:$F$157,Титульный!$B$13:$B$157,'2'!C63,Титульный!$D$13:$D$157,"&gt;290",Титульный!$D$13:$D$157,"&lt;297")</f>
        <v>2141896</v>
      </c>
      <c r="G63" s="216">
        <f>SUMIFS(Титульный!$G$13:$G$157,Титульный!$B$13:$B$157,'2'!C63,Титульный!$D$13:$D$157,"&gt;290",Титульный!$D$13:$D$157,"&lt;297")</f>
        <v>2123602</v>
      </c>
      <c r="H63" s="940" t="s">
        <v>384</v>
      </c>
      <c r="I63" s="940"/>
      <c r="J63" s="940"/>
      <c r="K63" s="940"/>
    </row>
    <row r="64" spans="1:11" s="7" customFormat="1" ht="33" customHeight="1" x14ac:dyDescent="0.2">
      <c r="A64" s="38" t="s">
        <v>105</v>
      </c>
      <c r="B64" s="24" t="s">
        <v>106</v>
      </c>
      <c r="C64" s="25" t="s">
        <v>107</v>
      </c>
      <c r="D64" s="217" t="s">
        <v>448</v>
      </c>
      <c r="E64" s="238">
        <f>SUMIFS(Титульный!$E$13:$E$157,Титульный!$B$13:$B$157,'2'!C64,Титульный!$D$13:$D$157,"&gt;290",Титульный!$D$13:$D$157,"&lt;297")</f>
        <v>0</v>
      </c>
      <c r="F64" s="215">
        <f>SUMIFS(Титульный!$F$13:$F$157,Титульный!$B$13:$B$157,'2'!C64,Титульный!$D$13:$D$157,"&gt;290",Титульный!$D$13:$D$157,"&lt;297")</f>
        <v>0</v>
      </c>
      <c r="G64" s="239">
        <f>SUMIFS(Титульный!$G$13:$G$157,Титульный!$B$13:$B$157,'2'!C64,Титульный!$D$13:$D$157,"&gt;290",Титульный!$D$13:$D$157,"&lt;297")</f>
        <v>0</v>
      </c>
      <c r="H64" s="940"/>
      <c r="I64" s="940"/>
      <c r="J64" s="940"/>
      <c r="K64" s="940"/>
    </row>
    <row r="65" spans="1:11" s="7" customFormat="1" ht="21.75" customHeight="1" x14ac:dyDescent="0.2">
      <c r="A65" s="38" t="s">
        <v>449</v>
      </c>
      <c r="B65" s="24" t="s">
        <v>108</v>
      </c>
      <c r="C65" s="25" t="s">
        <v>109</v>
      </c>
      <c r="D65" s="217" t="s">
        <v>448</v>
      </c>
      <c r="E65" s="214">
        <f>SUMIFS(Титульный!$E$13:$E$157,Титульный!$B$13:$B$157,'2'!C65,Титульный!$D$13:$D$157,"&gt;290",Титульный!$D$13:$D$157,"&lt;297")</f>
        <v>3000</v>
      </c>
      <c r="F65" s="215">
        <f>SUMIFS(Титульный!$F$13:$F$157,Титульный!$B$13:$B$157,'2'!C65,Титульный!$D$13:$D$157,"&gt;290",Титульный!$D$13:$D$157,"&lt;297")</f>
        <v>3000</v>
      </c>
      <c r="G65" s="216">
        <f>SUMIFS(Титульный!$G$13:$G$157,Титульный!$B$13:$B$157,'2'!C65,Титульный!$D$13:$D$157,"&gt;290",Титульный!$D$13:$D$157,"&lt;297")</f>
        <v>3000</v>
      </c>
      <c r="H65" s="940"/>
      <c r="I65" s="940"/>
      <c r="J65" s="940"/>
      <c r="K65" s="940"/>
    </row>
    <row r="66" spans="1:11" s="7" customFormat="1" ht="21.75" customHeight="1" x14ac:dyDescent="0.2">
      <c r="A66" s="40" t="s">
        <v>110</v>
      </c>
      <c r="B66" s="24" t="s">
        <v>111</v>
      </c>
      <c r="C66" s="25" t="s">
        <v>23</v>
      </c>
      <c r="D66" s="217"/>
      <c r="E66" s="232">
        <f>SUM(E67:E69)</f>
        <v>0</v>
      </c>
      <c r="F66" s="212">
        <f t="shared" ref="F66:G66" si="11">SUM(F67:F69)</f>
        <v>0</v>
      </c>
      <c r="G66" s="213">
        <f t="shared" si="11"/>
        <v>0</v>
      </c>
    </row>
    <row r="67" spans="1:11" s="7" customFormat="1" ht="30.6" customHeight="1" x14ac:dyDescent="0.2">
      <c r="A67" s="38" t="s">
        <v>112</v>
      </c>
      <c r="B67" s="24" t="s">
        <v>113</v>
      </c>
      <c r="C67" s="25" t="s">
        <v>114</v>
      </c>
      <c r="D67" s="217"/>
      <c r="E67" s="214"/>
      <c r="F67" s="215"/>
      <c r="G67" s="216"/>
    </row>
    <row r="68" spans="1:11" s="7" customFormat="1" ht="21.75" customHeight="1" x14ac:dyDescent="0.2">
      <c r="A68" s="38" t="s">
        <v>115</v>
      </c>
      <c r="B68" s="24" t="s">
        <v>116</v>
      </c>
      <c r="C68" s="25" t="s">
        <v>117</v>
      </c>
      <c r="D68" s="217"/>
      <c r="E68" s="214"/>
      <c r="F68" s="215"/>
      <c r="G68" s="216"/>
    </row>
    <row r="69" spans="1:11" s="7" customFormat="1" ht="29.45" customHeight="1" x14ac:dyDescent="0.2">
      <c r="A69" s="38" t="s">
        <v>118</v>
      </c>
      <c r="B69" s="24" t="s">
        <v>119</v>
      </c>
      <c r="C69" s="25" t="s">
        <v>120</v>
      </c>
      <c r="D69" s="217"/>
      <c r="E69" s="214"/>
      <c r="F69" s="215"/>
      <c r="G69" s="216"/>
    </row>
    <row r="70" spans="1:11" s="7" customFormat="1" ht="21.75" customHeight="1" x14ac:dyDescent="0.2">
      <c r="A70" s="40" t="s">
        <v>121</v>
      </c>
      <c r="B70" s="24" t="s">
        <v>122</v>
      </c>
      <c r="C70" s="25" t="s">
        <v>23</v>
      </c>
      <c r="D70" s="217"/>
      <c r="E70" s="232">
        <f>SUM(E71:E71)</f>
        <v>500</v>
      </c>
      <c r="F70" s="212">
        <f>SUM(F71:F71)</f>
        <v>500</v>
      </c>
      <c r="G70" s="213">
        <f>SUM(G71:G71)</f>
        <v>500</v>
      </c>
    </row>
    <row r="71" spans="1:11" s="7" customFormat="1" ht="33" customHeight="1" x14ac:dyDescent="0.2">
      <c r="A71" s="38" t="s">
        <v>123</v>
      </c>
      <c r="B71" s="24" t="s">
        <v>124</v>
      </c>
      <c r="C71" s="25" t="s">
        <v>125</v>
      </c>
      <c r="D71" s="217" t="s">
        <v>448</v>
      </c>
      <c r="E71" s="214">
        <f>SUMIFS(Титульный!$E$13:$E$157,Титульный!$B$13:$B$157,'2'!C71,Титульный!$D$13:$D$157,"&gt;290",Титульный!$D$13:$D$157,"&lt;297")</f>
        <v>500</v>
      </c>
      <c r="F71" s="215">
        <f>SUMIFS(Титульный!$F$13:$F$157,Титульный!$B$13:$B$157,'2'!C71,Титульный!$D$13:$D$157,"&gt;290",Титульный!$D$13:$D$157,"&lt;297")</f>
        <v>500</v>
      </c>
      <c r="G71" s="216">
        <f>SUMIFS(Титульный!$G$13:$G$157,Титульный!$B$13:$B$157,'2'!C71,Титульный!$D$13:$D$157,"&gt;290",Титульный!$D$13:$D$157,"&lt;297")</f>
        <v>500</v>
      </c>
    </row>
    <row r="72" spans="1:11" s="7" customFormat="1" ht="21.75" customHeight="1" x14ac:dyDescent="0.2">
      <c r="A72" s="40" t="s">
        <v>238</v>
      </c>
      <c r="B72" s="24" t="s">
        <v>126</v>
      </c>
      <c r="C72" s="25" t="s">
        <v>23</v>
      </c>
      <c r="D72" s="217"/>
      <c r="E72" s="232">
        <f>SUM(E73:E76)+E89+E90</f>
        <v>10747168.66</v>
      </c>
      <c r="F72" s="212">
        <f>SUM(F73:F76)+F89+F90</f>
        <v>10269419</v>
      </c>
      <c r="G72" s="213">
        <f t="shared" ref="G72" si="12">SUM(G73:G76)+G89+G90</f>
        <v>10269419</v>
      </c>
    </row>
    <row r="73" spans="1:11" s="7" customFormat="1" ht="33" customHeight="1" x14ac:dyDescent="0.2">
      <c r="A73" s="38" t="s">
        <v>127</v>
      </c>
      <c r="B73" s="24" t="s">
        <v>128</v>
      </c>
      <c r="C73" s="25" t="s">
        <v>129</v>
      </c>
      <c r="D73" s="217"/>
      <c r="E73" s="211"/>
      <c r="F73" s="212"/>
      <c r="G73" s="213"/>
    </row>
    <row r="74" spans="1:11" s="7" customFormat="1" ht="33.75" customHeight="1" x14ac:dyDescent="0.2">
      <c r="A74" s="38" t="s">
        <v>130</v>
      </c>
      <c r="B74" s="24" t="s">
        <v>131</v>
      </c>
      <c r="C74" s="25" t="s">
        <v>132</v>
      </c>
      <c r="D74" s="217"/>
      <c r="E74" s="211"/>
      <c r="F74" s="212"/>
      <c r="G74" s="213"/>
    </row>
    <row r="75" spans="1:11" s="7" customFormat="1" ht="33.75" customHeight="1" x14ac:dyDescent="0.2">
      <c r="A75" s="38" t="s">
        <v>210</v>
      </c>
      <c r="B75" s="24" t="s">
        <v>133</v>
      </c>
      <c r="C75" s="25" t="s">
        <v>134</v>
      </c>
      <c r="D75" s="217"/>
      <c r="E75" s="211"/>
      <c r="F75" s="212"/>
      <c r="G75" s="213"/>
    </row>
    <row r="76" spans="1:11" s="7" customFormat="1" ht="21.75" customHeight="1" x14ac:dyDescent="0.2">
      <c r="A76" s="38" t="s">
        <v>135</v>
      </c>
      <c r="B76" s="24" t="s">
        <v>136</v>
      </c>
      <c r="C76" s="25" t="s">
        <v>137</v>
      </c>
      <c r="D76" s="217"/>
      <c r="E76" s="211">
        <f>SUM(E77:E88)</f>
        <v>6306909.8799999999</v>
      </c>
      <c r="F76" s="212">
        <f>SUM(F77:F88)</f>
        <v>6014519</v>
      </c>
      <c r="G76" s="213">
        <f>SUM(G77:G88)</f>
        <v>5818537</v>
      </c>
    </row>
    <row r="77" spans="1:11" s="7" customFormat="1" ht="21" customHeight="1" x14ac:dyDescent="0.25">
      <c r="A77" s="285" t="s">
        <v>385</v>
      </c>
      <c r="B77" s="289"/>
      <c r="C77" s="288"/>
      <c r="D77" s="310"/>
      <c r="E77" s="235"/>
      <c r="F77" s="221"/>
      <c r="G77" s="222"/>
    </row>
    <row r="78" spans="1:11" s="7" customFormat="1" ht="21" customHeight="1" x14ac:dyDescent="0.25">
      <c r="A78" s="803" t="s">
        <v>388</v>
      </c>
      <c r="B78" s="791" t="s">
        <v>386</v>
      </c>
      <c r="C78" s="223" t="s">
        <v>137</v>
      </c>
      <c r="D78" s="311" t="s">
        <v>387</v>
      </c>
      <c r="E78" s="298">
        <f>SUMIFS(Титульный!$E$13:$E$157,Титульный!$B$13:$B$157,'2'!C78,Титульный!$D$13:$D$157,'2'!D78)</f>
        <v>306906</v>
      </c>
      <c r="F78" s="299">
        <f>SUMIFS(Титульный!$F$13:$F$157,Титульный!$B$13:$B$157,'2'!C78,Титульный!$D$13:$D$157,'2'!D78)</f>
        <v>306906</v>
      </c>
      <c r="G78" s="300">
        <f>SUMIFS(Титульный!$G$13:$G$157,Титульный!$B$13:$B$157,'2'!C78,Титульный!$D$13:$D$157,'2'!D78)</f>
        <v>306906</v>
      </c>
    </row>
    <row r="79" spans="1:11" s="7" customFormat="1" ht="21" customHeight="1" x14ac:dyDescent="0.2">
      <c r="A79" s="237" t="s">
        <v>389</v>
      </c>
      <c r="B79" s="236" t="s">
        <v>390</v>
      </c>
      <c r="C79" s="297" t="s">
        <v>137</v>
      </c>
      <c r="D79" s="308" t="s">
        <v>391</v>
      </c>
      <c r="E79" s="298">
        <f>SUMIFS(Титульный!$E$13:$E$157,Титульный!$B$13:$B$157,'2'!C79,Титульный!$D$13:$D$157,'2'!D79)</f>
        <v>7500</v>
      </c>
      <c r="F79" s="299">
        <f>SUMIFS(Титульный!$F$13:$F$157,Титульный!$B$13:$B$157,'2'!C79,Титульный!$D$13:$D$157,'2'!D79)</f>
        <v>7500</v>
      </c>
      <c r="G79" s="300">
        <f>SUMIFS(Титульный!$G$13:$G$157,Титульный!$B$13:$B$157,'2'!C79,Титульный!$D$13:$D$157,'2'!D79)</f>
        <v>7500</v>
      </c>
    </row>
    <row r="80" spans="1:11" s="7" customFormat="1" ht="21" customHeight="1" x14ac:dyDescent="0.2">
      <c r="A80" s="237" t="s">
        <v>392</v>
      </c>
      <c r="B80" s="787" t="s">
        <v>393</v>
      </c>
      <c r="C80" s="25" t="s">
        <v>137</v>
      </c>
      <c r="D80" s="217" t="s">
        <v>394</v>
      </c>
      <c r="E80" s="301">
        <f>SUMIFS(Титульный!$E$13:$E$157,Титульный!$B$13:$B$157,'2'!C80,Титульный!$D$13:$D$157,'2'!D80)</f>
        <v>389976.23</v>
      </c>
      <c r="F80" s="302">
        <f>SUMIFS(Титульный!$F$13:$F$157,Титульный!$B$13:$B$157,'2'!C80,Титульный!$D$13:$D$157,'2'!D80)</f>
        <v>397376</v>
      </c>
      <c r="G80" s="295">
        <f>SUMIFS(Титульный!$G$13:$G$157,Титульный!$B$13:$B$157,'2'!C80,Титульный!$D$13:$D$157,'2'!D80)</f>
        <v>201394</v>
      </c>
    </row>
    <row r="81" spans="1:11" s="7" customFormat="1" ht="21" customHeight="1" x14ac:dyDescent="0.2">
      <c r="A81" s="237" t="s">
        <v>395</v>
      </c>
      <c r="B81" s="24" t="s">
        <v>396</v>
      </c>
      <c r="C81" s="25" t="s">
        <v>137</v>
      </c>
      <c r="D81" s="217" t="s">
        <v>397</v>
      </c>
      <c r="E81" s="301">
        <f>SUMIFS(Титульный!$E$13:$E$157,Титульный!$B$13:$B$157,'2'!C81,Титульный!$D$13:$D$157,'2'!D81)</f>
        <v>241880</v>
      </c>
      <c r="F81" s="302">
        <f>SUMIFS(Титульный!$F$13:$F$157,Титульный!$B$13:$B$157,'2'!C81,Титульный!$D$13:$D$157,'2'!D81)</f>
        <v>0</v>
      </c>
      <c r="G81" s="295">
        <f>SUMIFS(Титульный!$G$13:$G$157,Титульный!$B$13:$B$157,'2'!C81,Титульный!$D$13:$D$157,'2'!D81)</f>
        <v>0</v>
      </c>
    </row>
    <row r="82" spans="1:11" s="7" customFormat="1" ht="21" customHeight="1" x14ac:dyDescent="0.2">
      <c r="A82" s="237" t="s">
        <v>398</v>
      </c>
      <c r="B82" s="24" t="s">
        <v>399</v>
      </c>
      <c r="C82" s="25" t="s">
        <v>137</v>
      </c>
      <c r="D82" s="217" t="s">
        <v>400</v>
      </c>
      <c r="E82" s="301">
        <f>SUMIFS(Титульный!$E$13:$E$157,Титульный!$B$13:$B$157,'2'!C82,Титульный!$D$13:$D$157,'2'!D82)</f>
        <v>614376.61</v>
      </c>
      <c r="F82" s="302">
        <f>SUMIFS(Титульный!$F$13:$F$157,Титульный!$B$13:$B$157,'2'!C82,Титульный!$D$13:$D$157,'2'!D82)</f>
        <v>568848</v>
      </c>
      <c r="G82" s="295">
        <f>SUMIFS(Титульный!$G$13:$G$157,Титульный!$B$13:$B$157,'2'!C82,Титульный!$D$13:$D$157,'2'!D82)</f>
        <v>568848</v>
      </c>
    </row>
    <row r="83" spans="1:11" s="7" customFormat="1" ht="21" customHeight="1" x14ac:dyDescent="0.2">
      <c r="A83" s="237" t="s">
        <v>373</v>
      </c>
      <c r="B83" s="236" t="s">
        <v>401</v>
      </c>
      <c r="C83" s="25" t="s">
        <v>137</v>
      </c>
      <c r="D83" s="217" t="s">
        <v>375</v>
      </c>
      <c r="E83" s="301">
        <f>SUMIFS(Титульный!$E$13:$E$157,Титульный!$B$13:$B$157,'2'!C83,Титульный!$D$13:$D$157,'2'!D83)</f>
        <v>1196344.04</v>
      </c>
      <c r="F83" s="302">
        <f>SUMIFS(Титульный!$F$13:$F$157,Титульный!$B$13:$B$157,'2'!C83,Титульный!$D$13:$D$157,'2'!D83)</f>
        <v>1085748</v>
      </c>
      <c r="G83" s="295">
        <f>SUMIFS(Титульный!$G$13:$G$157,Титульный!$B$13:$B$157,'2'!C83,Титульный!$D$13:$D$157,'2'!D83)</f>
        <v>1085748</v>
      </c>
    </row>
    <row r="84" spans="1:11" s="7" customFormat="1" ht="21" customHeight="1" x14ac:dyDescent="0.2">
      <c r="A84" s="804" t="s">
        <v>441</v>
      </c>
      <c r="B84" s="236" t="s">
        <v>401</v>
      </c>
      <c r="C84" s="25" t="s">
        <v>137</v>
      </c>
      <c r="D84" s="217" t="s">
        <v>440</v>
      </c>
      <c r="E84" s="301">
        <f>SUMIFS(Титульный!$E$13:$E$157,Титульный!$B$13:$B$157,'2'!C84,Титульный!$D$13:$D$157,'2'!D84)</f>
        <v>0</v>
      </c>
      <c r="F84" s="302">
        <f>SUMIFS(Титульный!$F$13:$F$157,Титульный!$B$13:$B$157,'2'!C84,Титульный!$D$13:$D$157,'2'!D84)</f>
        <v>0</v>
      </c>
      <c r="G84" s="295">
        <f>SUMIFS(Титульный!$G$13:$G$157,Титульный!$B$13:$B$157,'2'!C84,Титульный!$D$13:$D$157,'2'!D84)</f>
        <v>0</v>
      </c>
    </row>
    <row r="85" spans="1:11" s="7" customFormat="1" ht="21" customHeight="1" x14ac:dyDescent="0.2">
      <c r="A85" s="237" t="s">
        <v>402</v>
      </c>
      <c r="B85" s="24" t="s">
        <v>403</v>
      </c>
      <c r="C85" s="25" t="s">
        <v>137</v>
      </c>
      <c r="D85" s="217" t="s">
        <v>404</v>
      </c>
      <c r="E85" s="301">
        <f>SUMIFS(Титульный!$E$13:$E$157,Титульный!$B$13:$B$157,'2'!C85,Титульный!$D$13:$D$157,'2'!D85)</f>
        <v>0</v>
      </c>
      <c r="F85" s="302">
        <f>SUMIFS(Титульный!$F$13:$F$157,Титульный!$B$13:$B$157,'2'!C85,Титульный!$D$13:$D$157,'2'!D85)</f>
        <v>0</v>
      </c>
      <c r="G85" s="295">
        <f>SUMIFS(Титульный!$G$13:$G$157,Титульный!$B$13:$B$157,'2'!C85,Титульный!$D$13:$D$157,'2'!D85)</f>
        <v>0</v>
      </c>
    </row>
    <row r="86" spans="1:11" s="7" customFormat="1" ht="21" customHeight="1" x14ac:dyDescent="0.2">
      <c r="A86" s="237" t="s">
        <v>405</v>
      </c>
      <c r="B86" s="236" t="s">
        <v>406</v>
      </c>
      <c r="C86" s="25" t="s">
        <v>137</v>
      </c>
      <c r="D86" s="217" t="s">
        <v>407</v>
      </c>
      <c r="E86" s="301">
        <f>SUMIFS(Титульный!$E$13:$E$157,Титульный!$B$13:$B$157,'2'!C86,Титульный!$D$13:$D$157,'2'!D86)</f>
        <v>2160000</v>
      </c>
      <c r="F86" s="302">
        <f>SUMIFS(Титульный!$F$13:$F$157,Титульный!$B$13:$B$157,'2'!C86,Титульный!$D$13:$D$157,'2'!D86)</f>
        <v>2183214</v>
      </c>
      <c r="G86" s="295">
        <f>SUMIFS(Титульный!$G$13:$G$157,Титульный!$B$13:$B$157,'2'!C86,Титульный!$D$13:$D$157,'2'!D86)</f>
        <v>2183214</v>
      </c>
    </row>
    <row r="87" spans="1:11" s="7" customFormat="1" ht="21" customHeight="1" x14ac:dyDescent="0.2">
      <c r="A87" s="237" t="s">
        <v>408</v>
      </c>
      <c r="B87" s="787" t="s">
        <v>409</v>
      </c>
      <c r="C87" s="25" t="s">
        <v>137</v>
      </c>
      <c r="D87" s="217" t="s">
        <v>92</v>
      </c>
      <c r="E87" s="301">
        <f>SUMIFS(Титульный!$E$13:$E$157,Титульный!$B$13:$B$157,'2'!C87,Титульный!$D$13:$D$157,"&gt;340")-E88</f>
        <v>1389927</v>
      </c>
      <c r="F87" s="302">
        <f>SUMIFS(Титульный!$F$13:$F$157,Титульный!$B$13:$B$157,'2'!C87,Титульный!$D$13:$D$157,"&gt;340")-F88</f>
        <v>1464927</v>
      </c>
      <c r="G87" s="295">
        <f>SUMIFS(Титульный!$G$13:$G$157,Титульный!$B$13:$B$157,'2'!C87,Титульный!$D$13:$D$157,"&gt;340")-G88</f>
        <v>1464927</v>
      </c>
    </row>
    <row r="88" spans="1:11" s="7" customFormat="1" ht="21" customHeight="1" x14ac:dyDescent="0.2">
      <c r="A88" s="805" t="s">
        <v>817</v>
      </c>
      <c r="B88" s="823" t="s">
        <v>409</v>
      </c>
      <c r="C88" s="798" t="s">
        <v>137</v>
      </c>
      <c r="D88" s="799" t="s">
        <v>95</v>
      </c>
      <c r="E88" s="788">
        <f>SUMIFS(Титульный!$E$13:$E$157,Титульный!$B$13:$B$157,'2'!C88,Титульный!$D$13:$D$157,'2'!D88)</f>
        <v>0</v>
      </c>
      <c r="F88" s="789">
        <f>SUMIFS(Титульный!$F$13:$F$157,Титульный!$B$13:$B$157,'2'!C88,Титульный!$D$13:$D$157,'2'!D88)</f>
        <v>0</v>
      </c>
      <c r="G88" s="786">
        <f>SUMIFS(Титульный!$G$13:$G$157,Титульный!$B$13:$B$157,'2'!C88,Титульный!$D$13:$D$157,'2'!D88)</f>
        <v>0</v>
      </c>
    </row>
    <row r="89" spans="1:11" s="7" customFormat="1" ht="21" customHeight="1" x14ac:dyDescent="0.2">
      <c r="A89" s="797" t="s">
        <v>818</v>
      </c>
      <c r="B89" s="824" t="s">
        <v>409</v>
      </c>
      <c r="C89" s="798" t="s">
        <v>819</v>
      </c>
      <c r="D89" s="799" t="s">
        <v>394</v>
      </c>
      <c r="E89" s="800">
        <f>SUMIFS(Титульный!$E$13:$E$157,Титульный!$B$13:$B$157,'2'!C89,Титульный!$D$13:$D$157,'2'!D89)</f>
        <v>4440258.78</v>
      </c>
      <c r="F89" s="801">
        <f>SUMIFS(Титульный!$F$13:$F$157,Титульный!$B$13:$B$157,'2'!C89,Титульный!$D$13:$D$157,'2'!D89)</f>
        <v>4254900</v>
      </c>
      <c r="G89" s="802">
        <f>SUMIFS(Титульный!$G$13:$G$157,Титульный!$B$13:$B$157,'2'!C89,Титульный!$D$13:$D$157,'2'!D89)</f>
        <v>4450882</v>
      </c>
    </row>
    <row r="90" spans="1:11" s="7" customFormat="1" ht="21" customHeight="1" x14ac:dyDescent="0.2">
      <c r="A90" s="38" t="s">
        <v>211</v>
      </c>
      <c r="B90" s="24" t="s">
        <v>138</v>
      </c>
      <c r="C90" s="25" t="s">
        <v>139</v>
      </c>
      <c r="D90" s="217"/>
      <c r="E90" s="211">
        <f>SUM(E91:E92)</f>
        <v>0</v>
      </c>
      <c r="F90" s="212">
        <f t="shared" ref="F90:G90" si="13">SUM(F91:F92)</f>
        <v>0</v>
      </c>
      <c r="G90" s="213">
        <f t="shared" si="13"/>
        <v>0</v>
      </c>
    </row>
    <row r="91" spans="1:11" s="7" customFormat="1" ht="33.75" customHeight="1" x14ac:dyDescent="0.2">
      <c r="A91" s="41" t="s">
        <v>212</v>
      </c>
      <c r="B91" s="24" t="s">
        <v>140</v>
      </c>
      <c r="C91" s="25" t="s">
        <v>141</v>
      </c>
      <c r="D91" s="217"/>
      <c r="E91" s="211"/>
      <c r="F91" s="212"/>
      <c r="G91" s="213"/>
    </row>
    <row r="92" spans="1:11" s="7" customFormat="1" ht="33.75" customHeight="1" x14ac:dyDescent="0.2">
      <c r="A92" s="44" t="s">
        <v>213</v>
      </c>
      <c r="B92" s="26" t="s">
        <v>142</v>
      </c>
      <c r="C92" s="27" t="s">
        <v>143</v>
      </c>
      <c r="D92" s="224"/>
      <c r="E92" s="225"/>
      <c r="F92" s="226"/>
      <c r="G92" s="227"/>
    </row>
    <row r="93" spans="1:11" s="7" customFormat="1" ht="21.75" customHeight="1" x14ac:dyDescent="0.2">
      <c r="A93" s="43" t="s">
        <v>239</v>
      </c>
      <c r="B93" s="28" t="s">
        <v>144</v>
      </c>
      <c r="C93" s="29" t="s">
        <v>145</v>
      </c>
      <c r="D93" s="207"/>
      <c r="E93" s="208">
        <f>SUM(E94:E96)</f>
        <v>0</v>
      </c>
      <c r="F93" s="209">
        <f t="shared" ref="F93" si="14">SUM(F94:F96)</f>
        <v>0</v>
      </c>
      <c r="G93" s="210">
        <f>SUM(G94:G96)</f>
        <v>0</v>
      </c>
    </row>
    <row r="94" spans="1:11" s="7" customFormat="1" ht="33" customHeight="1" x14ac:dyDescent="0.2">
      <c r="A94" s="40" t="s">
        <v>240</v>
      </c>
      <c r="B94" s="24" t="s">
        <v>146</v>
      </c>
      <c r="C94" s="25" t="s">
        <v>45</v>
      </c>
      <c r="D94" s="217" t="s">
        <v>410</v>
      </c>
      <c r="E94" s="214"/>
      <c r="F94" s="215"/>
      <c r="G94" s="216"/>
      <c r="H94" s="7" t="s">
        <v>837</v>
      </c>
      <c r="K94" s="7" t="s">
        <v>801</v>
      </c>
    </row>
    <row r="95" spans="1:11" s="7" customFormat="1" ht="21.75" customHeight="1" x14ac:dyDescent="0.2">
      <c r="A95" s="40" t="s">
        <v>241</v>
      </c>
      <c r="B95" s="24" t="s">
        <v>147</v>
      </c>
      <c r="C95" s="25"/>
      <c r="D95" s="217"/>
      <c r="E95" s="211"/>
      <c r="F95" s="212"/>
      <c r="G95" s="213"/>
    </row>
    <row r="96" spans="1:11" s="7" customFormat="1" ht="21.75" customHeight="1" x14ac:dyDescent="0.2">
      <c r="A96" s="45" t="s">
        <v>242</v>
      </c>
      <c r="B96" s="26" t="s">
        <v>148</v>
      </c>
      <c r="C96" s="27"/>
      <c r="D96" s="224"/>
      <c r="E96" s="225"/>
      <c r="F96" s="226"/>
      <c r="G96" s="227"/>
    </row>
    <row r="97" spans="1:7" s="7" customFormat="1" ht="21.75" customHeight="1" x14ac:dyDescent="0.2">
      <c r="A97" s="43" t="s">
        <v>243</v>
      </c>
      <c r="B97" s="28" t="s">
        <v>149</v>
      </c>
      <c r="C97" s="29" t="s">
        <v>23</v>
      </c>
      <c r="D97" s="207"/>
      <c r="E97" s="208">
        <f>E98</f>
        <v>0</v>
      </c>
      <c r="F97" s="209">
        <f t="shared" ref="F97:G97" si="15">F98</f>
        <v>0</v>
      </c>
      <c r="G97" s="210">
        <f t="shared" si="15"/>
        <v>0</v>
      </c>
    </row>
    <row r="98" spans="1:7" s="7" customFormat="1" ht="33" customHeight="1" x14ac:dyDescent="0.2">
      <c r="A98" s="40" t="s">
        <v>150</v>
      </c>
      <c r="B98" s="24" t="s">
        <v>151</v>
      </c>
      <c r="C98" s="25" t="s">
        <v>152</v>
      </c>
      <c r="D98" s="217"/>
      <c r="E98" s="282">
        <f>Титульный!G183+Титульный!G184+Титульный!G185</f>
        <v>0</v>
      </c>
      <c r="F98" s="283"/>
      <c r="G98" s="284"/>
    </row>
    <row r="99" spans="1:7" s="7" customFormat="1" ht="21.75" customHeight="1" x14ac:dyDescent="0.2">
      <c r="A99" s="42"/>
      <c r="B99" s="26"/>
      <c r="C99" s="27"/>
      <c r="D99" s="224"/>
      <c r="E99" s="225"/>
      <c r="F99" s="226"/>
      <c r="G99" s="227"/>
    </row>
    <row r="100" spans="1:7" s="13" customFormat="1" ht="15.75" x14ac:dyDescent="0.25">
      <c r="A100" s="2"/>
    </row>
    <row r="101" spans="1:7" s="12" customFormat="1" x14ac:dyDescent="0.2">
      <c r="A101" s="943" t="s">
        <v>452</v>
      </c>
      <c r="B101" s="943"/>
      <c r="C101" s="943"/>
      <c r="D101" s="943"/>
      <c r="E101" s="943"/>
      <c r="F101" s="943"/>
      <c r="G101" s="943"/>
    </row>
    <row r="102" spans="1:7" s="12" customFormat="1" x14ac:dyDescent="0.2">
      <c r="A102" s="943" t="s">
        <v>411</v>
      </c>
      <c r="B102" s="943"/>
      <c r="C102" s="943"/>
      <c r="D102" s="943"/>
      <c r="E102" s="943"/>
      <c r="F102" s="943"/>
      <c r="G102" s="943"/>
    </row>
    <row r="103" spans="1:7" s="12" customFormat="1" x14ac:dyDescent="0.2">
      <c r="A103" s="943" t="s">
        <v>412</v>
      </c>
      <c r="B103" s="943"/>
      <c r="C103" s="943"/>
      <c r="D103" s="943"/>
      <c r="E103" s="943"/>
      <c r="F103" s="943"/>
      <c r="G103" s="943"/>
    </row>
    <row r="104" spans="1:7" s="12" customFormat="1" x14ac:dyDescent="0.2">
      <c r="A104" s="941" t="s">
        <v>244</v>
      </c>
      <c r="B104" s="942"/>
      <c r="C104" s="942"/>
      <c r="D104" s="942"/>
      <c r="E104" s="942"/>
      <c r="F104" s="942"/>
      <c r="G104" s="942"/>
    </row>
    <row r="105" spans="1:7" s="12" customFormat="1" x14ac:dyDescent="0.2">
      <c r="A105" s="941" t="s">
        <v>245</v>
      </c>
      <c r="B105" s="942"/>
      <c r="C105" s="942"/>
      <c r="D105" s="942"/>
      <c r="E105" s="942"/>
      <c r="F105" s="942"/>
      <c r="G105" s="942"/>
    </row>
    <row r="106" spans="1:7" s="12" customFormat="1" x14ac:dyDescent="0.2">
      <c r="A106" s="941" t="s">
        <v>246</v>
      </c>
      <c r="B106" s="942"/>
      <c r="C106" s="942"/>
      <c r="D106" s="942"/>
      <c r="E106" s="942"/>
      <c r="F106" s="942"/>
      <c r="G106" s="942"/>
    </row>
    <row r="107" spans="1:7" s="12" customFormat="1" ht="30.6" customHeight="1" x14ac:dyDescent="0.2">
      <c r="A107" s="941" t="s">
        <v>247</v>
      </c>
      <c r="B107" s="942"/>
      <c r="C107" s="942"/>
      <c r="D107" s="942"/>
      <c r="E107" s="942"/>
      <c r="F107" s="942"/>
      <c r="G107" s="942"/>
    </row>
    <row r="108" spans="1:7" s="12" customFormat="1" ht="15" customHeight="1" x14ac:dyDescent="0.2">
      <c r="A108" s="941" t="s">
        <v>248</v>
      </c>
      <c r="B108" s="942"/>
      <c r="C108" s="942"/>
      <c r="D108" s="942"/>
      <c r="E108" s="942"/>
      <c r="F108" s="942"/>
      <c r="G108" s="942"/>
    </row>
    <row r="109" spans="1:7" s="12" customFormat="1" ht="27" customHeight="1" x14ac:dyDescent="0.2">
      <c r="A109" s="943" t="s">
        <v>453</v>
      </c>
      <c r="B109" s="943"/>
      <c r="C109" s="943"/>
      <c r="D109" s="943"/>
      <c r="E109" s="943"/>
      <c r="F109" s="943"/>
      <c r="G109" s="943"/>
    </row>
    <row r="110" spans="1:7" s="12" customFormat="1" ht="27" customHeight="1" x14ac:dyDescent="0.2">
      <c r="A110" s="943" t="s">
        <v>454</v>
      </c>
      <c r="B110" s="943"/>
      <c r="C110" s="943"/>
      <c r="D110" s="943"/>
      <c r="E110" s="943"/>
      <c r="F110" s="943"/>
      <c r="G110" s="943"/>
    </row>
    <row r="111" spans="1:7" s="12" customFormat="1" ht="39.6" customHeight="1" x14ac:dyDescent="0.2">
      <c r="A111" s="943" t="s">
        <v>455</v>
      </c>
      <c r="B111" s="943"/>
      <c r="C111" s="943"/>
      <c r="D111" s="943"/>
      <c r="E111" s="943"/>
      <c r="F111" s="943"/>
      <c r="G111" s="943"/>
    </row>
    <row r="112" spans="1:7" s="12" customFormat="1" ht="27.75" customHeight="1" x14ac:dyDescent="0.2">
      <c r="A112" s="943" t="s">
        <v>456</v>
      </c>
      <c r="B112" s="943"/>
      <c r="C112" s="943"/>
      <c r="D112" s="943"/>
      <c r="E112" s="943"/>
      <c r="F112" s="943"/>
      <c r="G112" s="943"/>
    </row>
    <row r="113" spans="1:7" s="12" customFormat="1" x14ac:dyDescent="0.2">
      <c r="A113" s="943" t="s">
        <v>457</v>
      </c>
      <c r="B113" s="943"/>
      <c r="C113" s="943"/>
      <c r="D113" s="943"/>
      <c r="E113" s="943"/>
      <c r="F113" s="943"/>
      <c r="G113" s="943"/>
    </row>
    <row r="114" spans="1:7" s="12" customFormat="1" ht="47.45" customHeight="1" x14ac:dyDescent="0.2">
      <c r="A114" s="943" t="s">
        <v>458</v>
      </c>
      <c r="B114" s="943"/>
      <c r="C114" s="943"/>
      <c r="D114" s="943"/>
      <c r="E114" s="943"/>
      <c r="F114" s="943"/>
      <c r="G114" s="943"/>
    </row>
    <row r="120" spans="1:7" x14ac:dyDescent="0.2">
      <c r="E120" s="312">
        <f>Титульный!E52+Титульный!E126+Титульный!E158</f>
        <v>-5.9371814131736755E-9</v>
      </c>
      <c r="F120" s="312">
        <f>Титульный!F52+Титульный!F126+Титульный!F158</f>
        <v>0</v>
      </c>
      <c r="G120" s="312">
        <f>Титульный!G52+Титульный!G126+Титульный!G158</f>
        <v>0</v>
      </c>
    </row>
    <row r="121" spans="1:7" x14ac:dyDescent="0.2">
      <c r="E121" s="312">
        <f>E120-E8</f>
        <v>-5.9371814131736755E-9</v>
      </c>
      <c r="F121" s="312">
        <f>F120-F8</f>
        <v>0</v>
      </c>
      <c r="G121" s="312">
        <f>G120-G8</f>
        <v>0</v>
      </c>
    </row>
  </sheetData>
  <mergeCells count="48">
    <mergeCell ref="H63:K65"/>
    <mergeCell ref="A106:G106"/>
    <mergeCell ref="A107:G107"/>
    <mergeCell ref="A113:G113"/>
    <mergeCell ref="A114:G114"/>
    <mergeCell ref="A108:G108"/>
    <mergeCell ref="A109:G109"/>
    <mergeCell ref="A110:G110"/>
    <mergeCell ref="A111:G111"/>
    <mergeCell ref="A112:G112"/>
    <mergeCell ref="A101:G101"/>
    <mergeCell ref="A102:G102"/>
    <mergeCell ref="A103:G103"/>
    <mergeCell ref="A104:G104"/>
    <mergeCell ref="A105:G105"/>
    <mergeCell ref="G22:G23"/>
    <mergeCell ref="B26:B27"/>
    <mergeCell ref="C26:C27"/>
    <mergeCell ref="D26:D27"/>
    <mergeCell ref="B31:B32"/>
    <mergeCell ref="C31:C32"/>
    <mergeCell ref="D31:D32"/>
    <mergeCell ref="E31:E32"/>
    <mergeCell ref="F31:F32"/>
    <mergeCell ref="G31:G32"/>
    <mergeCell ref="B22:B23"/>
    <mergeCell ref="C22:C23"/>
    <mergeCell ref="D22:D23"/>
    <mergeCell ref="E22:E23"/>
    <mergeCell ref="F22:F23"/>
    <mergeCell ref="A1:G1"/>
    <mergeCell ref="A3:A5"/>
    <mergeCell ref="B3:B5"/>
    <mergeCell ref="C3:C5"/>
    <mergeCell ref="D3:D5"/>
    <mergeCell ref="E3:G3"/>
    <mergeCell ref="G11:G12"/>
    <mergeCell ref="B18:B19"/>
    <mergeCell ref="C18:C19"/>
    <mergeCell ref="D18:D19"/>
    <mergeCell ref="E18:E19"/>
    <mergeCell ref="F18:F19"/>
    <mergeCell ref="G18:G19"/>
    <mergeCell ref="B11:B12"/>
    <mergeCell ref="C11:C12"/>
    <mergeCell ref="D11:D12"/>
    <mergeCell ref="E11:E12"/>
    <mergeCell ref="F11:F12"/>
  </mergeCells>
  <pageMargins left="0.31496062992125984" right="0.31496062992125984" top="0.74803149606299213" bottom="0.35433070866141736" header="0.31496062992125984" footer="0.31496062992125984"/>
  <pageSetup paperSize="9" scale="27"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pageSetUpPr fitToPage="1"/>
  </sheetPr>
  <dimension ref="A1:K63"/>
  <sheetViews>
    <sheetView showZeros="0" view="pageBreakPreview" topLeftCell="A10" zoomScale="75" zoomScaleNormal="100" zoomScaleSheetLayoutView="75" workbookViewId="0">
      <selection activeCell="I15" sqref="I15"/>
    </sheetView>
  </sheetViews>
  <sheetFormatPr defaultRowHeight="12.75" x14ac:dyDescent="0.2"/>
  <cols>
    <col min="2" max="2" width="43.85546875" customWidth="1"/>
    <col min="3" max="3" width="49.42578125" customWidth="1"/>
    <col min="4" max="4" width="9.42578125" customWidth="1"/>
    <col min="5" max="5" width="9.140625" customWidth="1"/>
    <col min="6" max="6" width="15.5703125" customWidth="1"/>
    <col min="7" max="8" width="14.7109375" customWidth="1"/>
    <col min="9" max="9" width="13" customWidth="1"/>
    <col min="10" max="10" width="14.140625" customWidth="1"/>
    <col min="11" max="11" width="15.42578125" customWidth="1"/>
  </cols>
  <sheetData>
    <row r="1" spans="1:11" s="4" customFormat="1" ht="21.75" x14ac:dyDescent="0.3">
      <c r="B1" s="925" t="s">
        <v>249</v>
      </c>
      <c r="C1" s="925"/>
      <c r="D1" s="925"/>
      <c r="E1" s="925"/>
      <c r="F1" s="925"/>
      <c r="G1" s="925"/>
      <c r="H1" s="925"/>
    </row>
    <row r="2" spans="1:11" s="4" customFormat="1" ht="18.75" x14ac:dyDescent="0.3">
      <c r="B2" s="3"/>
      <c r="C2" s="3"/>
    </row>
    <row r="3" spans="1:11" s="13" customFormat="1" ht="19.5" customHeight="1" x14ac:dyDescent="0.25">
      <c r="A3" s="957" t="s">
        <v>153</v>
      </c>
      <c r="B3" s="960" t="s">
        <v>0</v>
      </c>
      <c r="C3" s="961"/>
      <c r="D3" s="930" t="s">
        <v>1</v>
      </c>
      <c r="E3" s="930" t="s">
        <v>154</v>
      </c>
      <c r="F3" s="930" t="s">
        <v>5</v>
      </c>
      <c r="G3" s="930"/>
      <c r="H3" s="930"/>
    </row>
    <row r="4" spans="1:11" s="13" customFormat="1" ht="15.75" x14ac:dyDescent="0.25">
      <c r="A4" s="958"/>
      <c r="B4" s="962"/>
      <c r="C4" s="963"/>
      <c r="D4" s="930"/>
      <c r="E4" s="930"/>
      <c r="F4" s="174">
        <v>2021</v>
      </c>
      <c r="G4" s="16">
        <v>2022</v>
      </c>
      <c r="H4" s="17">
        <v>2023</v>
      </c>
    </row>
    <row r="5" spans="1:11" s="13" customFormat="1" ht="47.25" x14ac:dyDescent="0.25">
      <c r="A5" s="959"/>
      <c r="B5" s="964"/>
      <c r="C5" s="965"/>
      <c r="D5" s="930"/>
      <c r="E5" s="930"/>
      <c r="F5" s="48" t="s">
        <v>2</v>
      </c>
      <c r="G5" s="49" t="s">
        <v>3</v>
      </c>
      <c r="H5" s="50" t="s">
        <v>4</v>
      </c>
    </row>
    <row r="6" spans="1:11" s="13" customFormat="1" ht="16.5" customHeight="1" x14ac:dyDescent="0.25">
      <c r="A6" s="51">
        <v>1</v>
      </c>
      <c r="B6" s="966" t="s">
        <v>7</v>
      </c>
      <c r="C6" s="967"/>
      <c r="D6" s="51" t="s">
        <v>8</v>
      </c>
      <c r="E6" s="51" t="s">
        <v>9</v>
      </c>
      <c r="F6" s="240">
        <v>5</v>
      </c>
      <c r="G6" s="241">
        <v>6</v>
      </c>
      <c r="H6" s="242">
        <v>7</v>
      </c>
      <c r="I6" s="13" t="s">
        <v>413</v>
      </c>
    </row>
    <row r="7" spans="1:11" s="13" customFormat="1" ht="21.75" customHeight="1" x14ac:dyDescent="0.25">
      <c r="A7" s="47">
        <v>1</v>
      </c>
      <c r="B7" s="953" t="s">
        <v>218</v>
      </c>
      <c r="C7" s="954"/>
      <c r="D7" s="64" t="s">
        <v>155</v>
      </c>
      <c r="E7" s="243" t="s">
        <v>23</v>
      </c>
      <c r="F7" s="244">
        <f>'2'!E72</f>
        <v>10747168.66</v>
      </c>
      <c r="G7" s="245">
        <f>'2'!F72</f>
        <v>10269419</v>
      </c>
      <c r="H7" s="246">
        <f>'2'!G72</f>
        <v>10269419</v>
      </c>
      <c r="I7" s="247">
        <f>F7-F10-F11</f>
        <v>0</v>
      </c>
      <c r="J7" s="247">
        <f t="shared" ref="J7:K7" si="0">G7-G10-G11</f>
        <v>0</v>
      </c>
      <c r="K7" s="247">
        <f t="shared" si="0"/>
        <v>0</v>
      </c>
    </row>
    <row r="8" spans="1:11" s="7" customFormat="1" ht="112.15" customHeight="1" x14ac:dyDescent="0.2">
      <c r="A8" s="39" t="s">
        <v>156</v>
      </c>
      <c r="B8" s="955" t="s">
        <v>216</v>
      </c>
      <c r="C8" s="956"/>
      <c r="D8" s="64" t="s">
        <v>157</v>
      </c>
      <c r="E8" s="243" t="s">
        <v>23</v>
      </c>
      <c r="F8" s="248"/>
      <c r="G8" s="249"/>
      <c r="H8" s="250"/>
    </row>
    <row r="9" spans="1:11" s="7" customFormat="1" ht="47.25" customHeight="1" x14ac:dyDescent="0.2">
      <c r="A9" s="39" t="s">
        <v>158</v>
      </c>
      <c r="B9" s="955" t="s">
        <v>219</v>
      </c>
      <c r="C9" s="956"/>
      <c r="D9" s="64" t="s">
        <v>159</v>
      </c>
      <c r="E9" s="243" t="s">
        <v>23</v>
      </c>
      <c r="F9" s="248"/>
      <c r="G9" s="249"/>
      <c r="H9" s="250"/>
    </row>
    <row r="10" spans="1:11" s="7" customFormat="1" ht="33" customHeight="1" x14ac:dyDescent="0.2">
      <c r="A10" s="39" t="s">
        <v>160</v>
      </c>
      <c r="B10" s="955" t="s">
        <v>220</v>
      </c>
      <c r="C10" s="956"/>
      <c r="D10" s="64" t="s">
        <v>162</v>
      </c>
      <c r="E10" s="243" t="s">
        <v>23</v>
      </c>
      <c r="F10" s="251">
        <f>Титульный!E177</f>
        <v>85932</v>
      </c>
      <c r="G10" s="252">
        <f>Титульный!F177</f>
        <v>0</v>
      </c>
      <c r="H10" s="253">
        <f>Титульный!G177</f>
        <v>0</v>
      </c>
    </row>
    <row r="11" spans="1:11" s="7" customFormat="1" ht="36" customHeight="1" x14ac:dyDescent="0.2">
      <c r="A11" s="39" t="s">
        <v>161</v>
      </c>
      <c r="B11" s="955" t="s">
        <v>221</v>
      </c>
      <c r="C11" s="956"/>
      <c r="D11" s="64" t="s">
        <v>163</v>
      </c>
      <c r="E11" s="243" t="s">
        <v>23</v>
      </c>
      <c r="F11" s="254">
        <f>F12+F15+F18+F19+F22</f>
        <v>10661236.66</v>
      </c>
      <c r="G11" s="255">
        <f t="shared" ref="G11:H11" si="1">G12+G15+G18+G19+G22</f>
        <v>10269419</v>
      </c>
      <c r="H11" s="256">
        <f t="shared" si="1"/>
        <v>10269419</v>
      </c>
    </row>
    <row r="12" spans="1:11" s="7" customFormat="1" ht="48" customHeight="1" x14ac:dyDescent="0.2">
      <c r="A12" s="39" t="s">
        <v>164</v>
      </c>
      <c r="B12" s="955" t="s">
        <v>214</v>
      </c>
      <c r="C12" s="956"/>
      <c r="D12" s="64" t="s">
        <v>165</v>
      </c>
      <c r="E12" s="243" t="s">
        <v>23</v>
      </c>
      <c r="F12" s="248">
        <f>F13+F14</f>
        <v>8990236.6600000001</v>
      </c>
      <c r="G12" s="249">
        <f t="shared" ref="G12:H12" si="2">G13+G14</f>
        <v>8523419</v>
      </c>
      <c r="H12" s="250">
        <f t="shared" si="2"/>
        <v>8523419</v>
      </c>
    </row>
    <row r="13" spans="1:11" s="7" customFormat="1" ht="33" customHeight="1" x14ac:dyDescent="0.2">
      <c r="A13" s="39" t="s">
        <v>166</v>
      </c>
      <c r="B13" s="955" t="s">
        <v>167</v>
      </c>
      <c r="C13" s="956"/>
      <c r="D13" s="64" t="s">
        <v>168</v>
      </c>
      <c r="E13" s="243" t="s">
        <v>23</v>
      </c>
      <c r="F13" s="251">
        <f>Титульный!R64-F10+Титульный!R65</f>
        <v>8990236.6600000001</v>
      </c>
      <c r="G13" s="252">
        <f>Титульный!S64-G10+Титульный!S65</f>
        <v>8523419</v>
      </c>
      <c r="H13" s="253">
        <f>Титульный!T64-H10+Титульный!T65</f>
        <v>8523419</v>
      </c>
      <c r="I13" s="7" t="s">
        <v>839</v>
      </c>
    </row>
    <row r="14" spans="1:11" s="7" customFormat="1" ht="21.75" customHeight="1" x14ac:dyDescent="0.2">
      <c r="A14" s="39" t="s">
        <v>169</v>
      </c>
      <c r="B14" s="955" t="s">
        <v>217</v>
      </c>
      <c r="C14" s="956"/>
      <c r="D14" s="64" t="s">
        <v>170</v>
      </c>
      <c r="E14" s="243" t="s">
        <v>23</v>
      </c>
      <c r="F14" s="251"/>
      <c r="G14" s="252"/>
      <c r="H14" s="253"/>
      <c r="I14" s="7" t="s">
        <v>840</v>
      </c>
    </row>
    <row r="15" spans="1:11" s="7" customFormat="1" ht="33" customHeight="1" x14ac:dyDescent="0.2">
      <c r="A15" s="39" t="s">
        <v>171</v>
      </c>
      <c r="B15" s="955" t="s">
        <v>172</v>
      </c>
      <c r="C15" s="956"/>
      <c r="D15" s="64" t="s">
        <v>173</v>
      </c>
      <c r="E15" s="243" t="s">
        <v>23</v>
      </c>
      <c r="F15" s="248">
        <f>F16+F17</f>
        <v>500000</v>
      </c>
      <c r="G15" s="249">
        <f t="shared" ref="G15:H15" si="3">G16+G17</f>
        <v>575000</v>
      </c>
      <c r="H15" s="250">
        <f t="shared" si="3"/>
        <v>575000</v>
      </c>
    </row>
    <row r="16" spans="1:11" s="7" customFormat="1" ht="33" customHeight="1" x14ac:dyDescent="0.2">
      <c r="A16" s="39" t="s">
        <v>174</v>
      </c>
      <c r="B16" s="955" t="s">
        <v>167</v>
      </c>
      <c r="C16" s="956"/>
      <c r="D16" s="64" t="s">
        <v>175</v>
      </c>
      <c r="E16" s="243" t="s">
        <v>23</v>
      </c>
      <c r="F16" s="251">
        <f>Титульный!R137</f>
        <v>500000</v>
      </c>
      <c r="G16" s="252">
        <f>Титульный!S137</f>
        <v>575000</v>
      </c>
      <c r="H16" s="253">
        <f>Титульный!T137</f>
        <v>575000</v>
      </c>
      <c r="I16" s="7" t="s">
        <v>428</v>
      </c>
    </row>
    <row r="17" spans="1:9" s="7" customFormat="1" ht="21.75" customHeight="1" x14ac:dyDescent="0.2">
      <c r="A17" s="39" t="s">
        <v>176</v>
      </c>
      <c r="B17" s="955" t="s">
        <v>217</v>
      </c>
      <c r="C17" s="956"/>
      <c r="D17" s="64" t="s">
        <v>177</v>
      </c>
      <c r="E17" s="243" t="s">
        <v>23</v>
      </c>
      <c r="F17" s="251"/>
      <c r="G17" s="252"/>
      <c r="H17" s="253"/>
      <c r="I17" s="7" t="s">
        <v>416</v>
      </c>
    </row>
    <row r="18" spans="1:9" s="7" customFormat="1" ht="21.75" customHeight="1" x14ac:dyDescent="0.2">
      <c r="A18" s="39" t="s">
        <v>178</v>
      </c>
      <c r="B18" s="955" t="s">
        <v>222</v>
      </c>
      <c r="C18" s="956"/>
      <c r="D18" s="64" t="s">
        <v>179</v>
      </c>
      <c r="E18" s="243" t="s">
        <v>23</v>
      </c>
      <c r="F18" s="248"/>
      <c r="G18" s="249"/>
      <c r="H18" s="250"/>
    </row>
    <row r="19" spans="1:9" s="7" customFormat="1" ht="21.75" customHeight="1" x14ac:dyDescent="0.2">
      <c r="A19" s="39" t="s">
        <v>180</v>
      </c>
      <c r="B19" s="955" t="s">
        <v>181</v>
      </c>
      <c r="C19" s="956"/>
      <c r="D19" s="64" t="s">
        <v>182</v>
      </c>
      <c r="E19" s="243" t="s">
        <v>23</v>
      </c>
      <c r="F19" s="248"/>
      <c r="G19" s="249"/>
      <c r="H19" s="250"/>
    </row>
    <row r="20" spans="1:9" s="7" customFormat="1" ht="33" customHeight="1" x14ac:dyDescent="0.2">
      <c r="A20" s="39" t="s">
        <v>183</v>
      </c>
      <c r="B20" s="955" t="s">
        <v>167</v>
      </c>
      <c r="C20" s="956"/>
      <c r="D20" s="64" t="s">
        <v>184</v>
      </c>
      <c r="E20" s="243" t="s">
        <v>23</v>
      </c>
      <c r="F20" s="248"/>
      <c r="G20" s="249"/>
      <c r="H20" s="250"/>
    </row>
    <row r="21" spans="1:9" s="7" customFormat="1" ht="21.75" customHeight="1" x14ac:dyDescent="0.2">
      <c r="A21" s="39" t="s">
        <v>185</v>
      </c>
      <c r="B21" s="955" t="s">
        <v>217</v>
      </c>
      <c r="C21" s="956"/>
      <c r="D21" s="64" t="s">
        <v>186</v>
      </c>
      <c r="E21" s="243" t="s">
        <v>23</v>
      </c>
      <c r="F21" s="248"/>
      <c r="G21" s="249"/>
      <c r="H21" s="250"/>
    </row>
    <row r="22" spans="1:9" s="7" customFormat="1" ht="21.75" customHeight="1" x14ac:dyDescent="0.2">
      <c r="A22" s="39" t="s">
        <v>187</v>
      </c>
      <c r="B22" s="955" t="s">
        <v>188</v>
      </c>
      <c r="C22" s="956"/>
      <c r="D22" s="64" t="s">
        <v>189</v>
      </c>
      <c r="E22" s="243" t="s">
        <v>23</v>
      </c>
      <c r="F22" s="248">
        <f>F23+F24</f>
        <v>1171000</v>
      </c>
      <c r="G22" s="249">
        <f t="shared" ref="G22:H22" si="4">G23+G24</f>
        <v>1171000</v>
      </c>
      <c r="H22" s="250">
        <f t="shared" si="4"/>
        <v>1171000</v>
      </c>
    </row>
    <row r="23" spans="1:9" s="7" customFormat="1" ht="33" customHeight="1" x14ac:dyDescent="0.2">
      <c r="A23" s="39" t="s">
        <v>190</v>
      </c>
      <c r="B23" s="955" t="s">
        <v>167</v>
      </c>
      <c r="C23" s="956"/>
      <c r="D23" s="64" t="s">
        <v>191</v>
      </c>
      <c r="E23" s="243" t="s">
        <v>23</v>
      </c>
      <c r="F23" s="251">
        <f>Титульный!R17+Титульный!R18</f>
        <v>1171000</v>
      </c>
      <c r="G23" s="252">
        <f>Титульный!S17+Титульный!S18</f>
        <v>1171000</v>
      </c>
      <c r="H23" s="253">
        <f>Титульный!T17+Титульный!T18</f>
        <v>1171000</v>
      </c>
      <c r="I23" s="7" t="s">
        <v>427</v>
      </c>
    </row>
    <row r="24" spans="1:9" s="7" customFormat="1" ht="21.75" customHeight="1" x14ac:dyDescent="0.2">
      <c r="A24" s="46" t="s">
        <v>192</v>
      </c>
      <c r="B24" s="944" t="s">
        <v>193</v>
      </c>
      <c r="C24" s="945"/>
      <c r="D24" s="178" t="s">
        <v>194</v>
      </c>
      <c r="E24" s="257" t="s">
        <v>23</v>
      </c>
      <c r="F24" s="258"/>
      <c r="G24" s="259"/>
      <c r="H24" s="260"/>
      <c r="I24" s="7" t="s">
        <v>417</v>
      </c>
    </row>
    <row r="25" spans="1:9" s="7" customFormat="1" ht="34.9" customHeight="1" x14ac:dyDescent="0.2">
      <c r="A25" s="43" t="s">
        <v>7</v>
      </c>
      <c r="B25" s="953" t="s">
        <v>223</v>
      </c>
      <c r="C25" s="954"/>
      <c r="D25" s="65" t="s">
        <v>195</v>
      </c>
      <c r="E25" s="65" t="s">
        <v>23</v>
      </c>
      <c r="F25" s="261">
        <f>F23+F16+F13</f>
        <v>10661236.66</v>
      </c>
      <c r="G25" s="262">
        <f>G23+G16+G13</f>
        <v>10269419</v>
      </c>
      <c r="H25" s="263">
        <f>H23+H16+H13</f>
        <v>10269419</v>
      </c>
    </row>
    <row r="26" spans="1:9" s="7" customFormat="1" ht="15.6" customHeight="1" x14ac:dyDescent="0.2">
      <c r="A26" s="39"/>
      <c r="B26" s="955" t="s">
        <v>196</v>
      </c>
      <c r="C26" s="956"/>
      <c r="D26" s="950" t="s">
        <v>197</v>
      </c>
      <c r="E26" s="950"/>
      <c r="F26" s="248"/>
      <c r="G26" s="249"/>
      <c r="H26" s="250"/>
    </row>
    <row r="27" spans="1:9" s="7" customFormat="1" ht="15.6" customHeight="1" x14ac:dyDescent="0.2">
      <c r="A27" s="46"/>
      <c r="B27" s="176" t="s">
        <v>418</v>
      </c>
      <c r="C27" s="177"/>
      <c r="D27" s="951"/>
      <c r="E27" s="951"/>
      <c r="F27" s="264">
        <f>F25</f>
        <v>10661236.66</v>
      </c>
      <c r="G27" s="265"/>
      <c r="H27" s="250"/>
    </row>
    <row r="28" spans="1:9" s="7" customFormat="1" ht="15.6" customHeight="1" x14ac:dyDescent="0.2">
      <c r="A28" s="46"/>
      <c r="B28" s="176" t="s">
        <v>419</v>
      </c>
      <c r="C28" s="177"/>
      <c r="D28" s="951"/>
      <c r="E28" s="951"/>
      <c r="F28" s="271"/>
      <c r="G28" s="266">
        <f>G25-G10</f>
        <v>10269419</v>
      </c>
      <c r="H28" s="250"/>
    </row>
    <row r="29" spans="1:9" s="7" customFormat="1" ht="15.6" customHeight="1" x14ac:dyDescent="0.2">
      <c r="A29" s="42"/>
      <c r="B29" s="944" t="s">
        <v>820</v>
      </c>
      <c r="C29" s="945"/>
      <c r="D29" s="952"/>
      <c r="E29" s="952"/>
      <c r="F29" s="271"/>
      <c r="G29" s="273"/>
      <c r="H29" s="272">
        <f>H25-H10</f>
        <v>10269419</v>
      </c>
    </row>
    <row r="30" spans="1:9" s="7" customFormat="1" ht="30.6" customHeight="1" x14ac:dyDescent="0.2">
      <c r="A30" s="43" t="s">
        <v>8</v>
      </c>
      <c r="B30" s="953" t="s">
        <v>198</v>
      </c>
      <c r="C30" s="954"/>
      <c r="D30" s="66" t="s">
        <v>199</v>
      </c>
      <c r="E30" s="66" t="s">
        <v>23</v>
      </c>
      <c r="F30" s="267"/>
      <c r="G30" s="262"/>
      <c r="H30" s="268"/>
    </row>
    <row r="31" spans="1:9" s="7" customFormat="1" ht="16.5" customHeight="1" x14ac:dyDescent="0.2">
      <c r="A31" s="39"/>
      <c r="B31" s="955" t="s">
        <v>196</v>
      </c>
      <c r="C31" s="956"/>
      <c r="D31" s="950" t="s">
        <v>200</v>
      </c>
      <c r="E31" s="950"/>
      <c r="F31" s="249"/>
      <c r="G31" s="249"/>
      <c r="H31" s="250"/>
    </row>
    <row r="32" spans="1:9" s="7" customFormat="1" ht="15.75" x14ac:dyDescent="0.2">
      <c r="A32" s="46"/>
      <c r="B32" s="176" t="s">
        <v>418</v>
      </c>
      <c r="C32" s="177"/>
      <c r="D32" s="951"/>
      <c r="E32" s="951"/>
      <c r="F32" s="264"/>
      <c r="G32" s="249"/>
      <c r="H32" s="249"/>
    </row>
    <row r="33" spans="1:8" s="7" customFormat="1" ht="15.75" x14ac:dyDescent="0.2">
      <c r="A33" s="46"/>
      <c r="B33" s="176" t="s">
        <v>419</v>
      </c>
      <c r="C33" s="177"/>
      <c r="D33" s="951"/>
      <c r="E33" s="951"/>
      <c r="F33" s="249"/>
      <c r="G33" s="266"/>
      <c r="H33" s="269"/>
    </row>
    <row r="34" spans="1:8" s="7" customFormat="1" ht="15.75" x14ac:dyDescent="0.2">
      <c r="A34" s="42"/>
      <c r="B34" s="944" t="s">
        <v>820</v>
      </c>
      <c r="C34" s="945"/>
      <c r="D34" s="952"/>
      <c r="E34" s="952"/>
      <c r="F34" s="274"/>
      <c r="G34" s="273"/>
      <c r="H34" s="275"/>
    </row>
    <row r="35" spans="1:8" s="31" customFormat="1" ht="15.75" hidden="1" x14ac:dyDescent="0.2">
      <c r="B35" s="35"/>
      <c r="C35" s="35"/>
      <c r="D35" s="32"/>
      <c r="E35" s="32"/>
      <c r="F35" s="33"/>
    </row>
    <row r="36" spans="1:8" ht="15.75" hidden="1" x14ac:dyDescent="0.25">
      <c r="B36" s="2" t="s">
        <v>201</v>
      </c>
      <c r="C36" s="318" t="s">
        <v>459</v>
      </c>
      <c r="D36" s="968"/>
      <c r="E36" s="969"/>
      <c r="F36" s="970" t="str">
        <f>Титульный!E161</f>
        <v>Шовская Т.В.</v>
      </c>
      <c r="G36" s="971"/>
      <c r="H36" s="972"/>
    </row>
    <row r="37" spans="1:8" ht="15.75" hidden="1" x14ac:dyDescent="0.25">
      <c r="B37" s="2" t="s">
        <v>202</v>
      </c>
      <c r="C37" s="307" t="s">
        <v>203</v>
      </c>
      <c r="D37" s="973" t="s">
        <v>12</v>
      </c>
      <c r="E37" s="973"/>
      <c r="F37" s="903" t="s">
        <v>13</v>
      </c>
      <c r="G37" s="903"/>
      <c r="H37" s="903"/>
    </row>
    <row r="38" spans="1:8" ht="15.75" hidden="1" x14ac:dyDescent="0.25">
      <c r="B38" s="2"/>
      <c r="C38" s="52"/>
      <c r="D38" s="52"/>
      <c r="E38" s="306"/>
      <c r="F38" s="306"/>
      <c r="G38" s="306"/>
      <c r="H38" s="306"/>
    </row>
    <row r="39" spans="1:8" ht="15" hidden="1" customHeight="1" x14ac:dyDescent="0.25">
      <c r="B39" s="2" t="s">
        <v>204</v>
      </c>
      <c r="C39" s="317" t="s">
        <v>460</v>
      </c>
      <c r="D39" s="974" t="str">
        <f>Титульный!E162</f>
        <v>Тушина М.О.</v>
      </c>
      <c r="E39" s="975"/>
      <c r="F39" s="976"/>
      <c r="G39" s="977" t="s">
        <v>461</v>
      </c>
      <c r="H39" s="978"/>
    </row>
    <row r="40" spans="1:8" ht="15.75" hidden="1" x14ac:dyDescent="0.2">
      <c r="B40" s="1"/>
      <c r="C40" s="175" t="s">
        <v>203</v>
      </c>
      <c r="D40" s="973" t="s">
        <v>205</v>
      </c>
      <c r="E40" s="973"/>
      <c r="F40" s="973"/>
      <c r="G40" s="903" t="s">
        <v>206</v>
      </c>
      <c r="H40" s="903"/>
    </row>
    <row r="41" spans="1:8" ht="13.5" hidden="1" thickBot="1" x14ac:dyDescent="0.25">
      <c r="B41" s="1"/>
      <c r="C41" s="1"/>
      <c r="D41" s="1"/>
    </row>
    <row r="42" spans="1:8" s="13" customFormat="1" ht="15.75" hidden="1" x14ac:dyDescent="0.25">
      <c r="A42" s="59" t="s">
        <v>207</v>
      </c>
      <c r="B42" s="53"/>
      <c r="C42" s="53"/>
      <c r="D42" s="53"/>
      <c r="E42" s="54"/>
    </row>
    <row r="43" spans="1:8" s="13" customFormat="1" ht="15.75" hidden="1" x14ac:dyDescent="0.25">
      <c r="A43" s="979" t="s">
        <v>231</v>
      </c>
      <c r="B43" s="980"/>
      <c r="C43" s="980"/>
      <c r="D43" s="980"/>
      <c r="E43" s="981"/>
    </row>
    <row r="44" spans="1:8" s="13" customFormat="1" ht="15.75" hidden="1" x14ac:dyDescent="0.25">
      <c r="A44" s="982" t="s">
        <v>215</v>
      </c>
      <c r="B44" s="983"/>
      <c r="C44" s="983"/>
      <c r="D44" s="983"/>
      <c r="E44" s="984"/>
    </row>
    <row r="45" spans="1:8" s="13" customFormat="1" ht="12.75" hidden="1" customHeight="1" x14ac:dyDescent="0.25">
      <c r="A45" s="55"/>
      <c r="B45" s="34"/>
      <c r="C45" s="34"/>
      <c r="D45" s="34"/>
      <c r="E45" s="56"/>
    </row>
    <row r="46" spans="1:8" s="13" customFormat="1" ht="38.25" hidden="1" customHeight="1" x14ac:dyDescent="0.25">
      <c r="A46" s="979"/>
      <c r="B46" s="980"/>
      <c r="C46" s="980" t="s">
        <v>230</v>
      </c>
      <c r="D46" s="980"/>
      <c r="E46" s="981"/>
    </row>
    <row r="47" spans="1:8" s="13" customFormat="1" ht="19.899999999999999" hidden="1" customHeight="1" x14ac:dyDescent="0.25">
      <c r="A47" s="985" t="s">
        <v>12</v>
      </c>
      <c r="B47" s="903"/>
      <c r="C47" s="903" t="s">
        <v>13</v>
      </c>
      <c r="D47" s="903"/>
      <c r="E47" s="986"/>
    </row>
    <row r="48" spans="1:8" s="13" customFormat="1" ht="33" hidden="1" customHeight="1" x14ac:dyDescent="0.25">
      <c r="A48" s="55"/>
      <c r="B48" s="34"/>
      <c r="C48" s="34"/>
      <c r="D48" s="34"/>
      <c r="E48" s="56"/>
    </row>
    <row r="49" spans="1:8" s="12" customFormat="1" ht="21.75" hidden="1" customHeight="1" thickBot="1" x14ac:dyDescent="0.3">
      <c r="A49" s="987" t="str">
        <f>'1'!E12</f>
        <v>« 31 » декабря 2020 г.</v>
      </c>
      <c r="B49" s="988"/>
      <c r="C49" s="57"/>
      <c r="D49" s="57"/>
      <c r="E49" s="58"/>
    </row>
    <row r="50" spans="1:8" s="60" customFormat="1" ht="21.75" hidden="1" customHeight="1" x14ac:dyDescent="0.2">
      <c r="A50" s="947" t="s">
        <v>420</v>
      </c>
      <c r="B50" s="948"/>
      <c r="C50" s="948"/>
      <c r="D50" s="948"/>
      <c r="E50" s="948"/>
      <c r="F50" s="948"/>
      <c r="G50" s="948"/>
      <c r="H50" s="948"/>
    </row>
    <row r="51" spans="1:8" s="270" customFormat="1" ht="72.599999999999994" hidden="1" customHeight="1" x14ac:dyDescent="0.2">
      <c r="A51" s="949" t="s">
        <v>421</v>
      </c>
      <c r="B51" s="949"/>
      <c r="C51" s="949"/>
      <c r="D51" s="949"/>
      <c r="E51" s="949"/>
      <c r="F51" s="949"/>
      <c r="G51" s="949"/>
      <c r="H51" s="949"/>
    </row>
    <row r="52" spans="1:8" s="270" customFormat="1" ht="34.9" hidden="1" customHeight="1" x14ac:dyDescent="0.2">
      <c r="A52" s="949" t="s">
        <v>422</v>
      </c>
      <c r="B52" s="949"/>
      <c r="C52" s="949"/>
      <c r="D52" s="949"/>
      <c r="E52" s="949"/>
      <c r="F52" s="949"/>
      <c r="G52" s="949"/>
      <c r="H52" s="949"/>
    </row>
    <row r="53" spans="1:8" s="270" customFormat="1" hidden="1" x14ac:dyDescent="0.2">
      <c r="A53" s="949" t="s">
        <v>423</v>
      </c>
      <c r="B53" s="949"/>
      <c r="C53" s="949"/>
      <c r="D53" s="949"/>
      <c r="E53" s="949"/>
      <c r="F53" s="949"/>
      <c r="G53" s="949"/>
      <c r="H53" s="949"/>
    </row>
    <row r="54" spans="1:8" s="270" customFormat="1" ht="16.149999999999999" hidden="1" customHeight="1" x14ac:dyDescent="0.2">
      <c r="A54" s="949" t="s">
        <v>424</v>
      </c>
      <c r="B54" s="949"/>
      <c r="C54" s="949"/>
      <c r="D54" s="949"/>
      <c r="E54" s="949"/>
      <c r="F54" s="949"/>
      <c r="G54" s="949"/>
      <c r="H54" s="949"/>
    </row>
    <row r="55" spans="1:8" s="270" customFormat="1" ht="13.9" hidden="1" customHeight="1" x14ac:dyDescent="0.2">
      <c r="A55" s="949" t="s">
        <v>425</v>
      </c>
      <c r="B55" s="949"/>
      <c r="C55" s="949"/>
      <c r="D55" s="949"/>
      <c r="E55" s="949"/>
      <c r="F55" s="949"/>
      <c r="G55" s="949"/>
      <c r="H55" s="949"/>
    </row>
    <row r="56" spans="1:8" s="270" customFormat="1" ht="35.450000000000003" hidden="1" customHeight="1" x14ac:dyDescent="0.2">
      <c r="A56" s="949" t="s">
        <v>426</v>
      </c>
      <c r="B56" s="949"/>
      <c r="C56" s="949"/>
      <c r="D56" s="949"/>
      <c r="E56" s="949"/>
      <c r="F56" s="949"/>
      <c r="G56" s="949"/>
      <c r="H56" s="949"/>
    </row>
    <row r="57" spans="1:8" hidden="1" x14ac:dyDescent="0.2">
      <c r="A57" s="946"/>
      <c r="B57" s="946"/>
      <c r="C57" s="946"/>
      <c r="D57" s="946"/>
      <c r="E57" s="946"/>
      <c r="F57" s="946"/>
      <c r="G57" s="946"/>
      <c r="H57" s="946"/>
    </row>
    <row r="58" spans="1:8" hidden="1" x14ac:dyDescent="0.2">
      <c r="A58" s="946"/>
      <c r="B58" s="946"/>
      <c r="C58" s="946"/>
      <c r="D58" s="946"/>
      <c r="E58" s="946"/>
      <c r="F58" s="946"/>
      <c r="G58" s="946"/>
      <c r="H58" s="946"/>
    </row>
    <row r="59" spans="1:8" hidden="1" x14ac:dyDescent="0.2">
      <c r="A59" s="946"/>
      <c r="B59" s="946"/>
      <c r="C59" s="946"/>
      <c r="D59" s="946"/>
      <c r="E59" s="946"/>
      <c r="F59" s="946"/>
      <c r="G59" s="946"/>
      <c r="H59" s="946"/>
    </row>
    <row r="60" spans="1:8" hidden="1" x14ac:dyDescent="0.2">
      <c r="A60" s="946"/>
      <c r="B60" s="946"/>
      <c r="C60" s="946"/>
      <c r="D60" s="946"/>
      <c r="E60" s="946"/>
      <c r="F60" s="946"/>
      <c r="G60" s="946"/>
      <c r="H60" s="946"/>
    </row>
    <row r="61" spans="1:8" hidden="1" x14ac:dyDescent="0.2">
      <c r="A61" s="946"/>
      <c r="B61" s="946"/>
      <c r="C61" s="946"/>
      <c r="D61" s="946"/>
      <c r="E61" s="946"/>
      <c r="F61" s="946"/>
      <c r="G61" s="946"/>
      <c r="H61" s="946"/>
    </row>
    <row r="62" spans="1:8" hidden="1" x14ac:dyDescent="0.2">
      <c r="A62" s="946"/>
      <c r="B62" s="946"/>
      <c r="C62" s="946"/>
      <c r="D62" s="946"/>
      <c r="E62" s="946"/>
      <c r="F62" s="946"/>
      <c r="G62" s="946"/>
      <c r="H62" s="946"/>
    </row>
    <row r="63" spans="1:8" hidden="1" x14ac:dyDescent="0.2">
      <c r="A63" s="946"/>
      <c r="B63" s="946"/>
      <c r="C63" s="946"/>
      <c r="D63" s="946"/>
      <c r="E63" s="946"/>
      <c r="F63" s="946"/>
      <c r="G63" s="946"/>
      <c r="H63" s="946"/>
    </row>
  </sheetData>
  <mergeCells count="64">
    <mergeCell ref="A44:E44"/>
    <mergeCell ref="A46:B46"/>
    <mergeCell ref="C46:E46"/>
    <mergeCell ref="A62:H62"/>
    <mergeCell ref="A63:H63"/>
    <mergeCell ref="A47:B47"/>
    <mergeCell ref="C47:E47"/>
    <mergeCell ref="A49:B49"/>
    <mergeCell ref="A60:H60"/>
    <mergeCell ref="A61:H61"/>
    <mergeCell ref="A57:H57"/>
    <mergeCell ref="D39:F39"/>
    <mergeCell ref="G39:H39"/>
    <mergeCell ref="D40:F40"/>
    <mergeCell ref="G40:H40"/>
    <mergeCell ref="A43:E43"/>
    <mergeCell ref="B34:C34"/>
    <mergeCell ref="D36:E36"/>
    <mergeCell ref="F36:H36"/>
    <mergeCell ref="D37:E37"/>
    <mergeCell ref="F37:H37"/>
    <mergeCell ref="B1:H1"/>
    <mergeCell ref="D3:D5"/>
    <mergeCell ref="E3:E5"/>
    <mergeCell ref="F3:H3"/>
    <mergeCell ref="B17:C17"/>
    <mergeCell ref="B6:C6"/>
    <mergeCell ref="B7:C7"/>
    <mergeCell ref="B8:C8"/>
    <mergeCell ref="B9:C9"/>
    <mergeCell ref="B10:C10"/>
    <mergeCell ref="B11:C11"/>
    <mergeCell ref="B15:C15"/>
    <mergeCell ref="B16:C16"/>
    <mergeCell ref="B24:C24"/>
    <mergeCell ref="B25:C25"/>
    <mergeCell ref="B26:C26"/>
    <mergeCell ref="B18:C18"/>
    <mergeCell ref="B19:C19"/>
    <mergeCell ref="B20:C20"/>
    <mergeCell ref="B21:C21"/>
    <mergeCell ref="B22:C22"/>
    <mergeCell ref="B23:C23"/>
    <mergeCell ref="A3:A5"/>
    <mergeCell ref="B3:C5"/>
    <mergeCell ref="B12:C12"/>
    <mergeCell ref="B13:C13"/>
    <mergeCell ref="B14:C14"/>
    <mergeCell ref="B29:C29"/>
    <mergeCell ref="A58:H58"/>
    <mergeCell ref="A59:H59"/>
    <mergeCell ref="A50:H50"/>
    <mergeCell ref="A51:H51"/>
    <mergeCell ref="A52:H52"/>
    <mergeCell ref="A53:H53"/>
    <mergeCell ref="A54:H54"/>
    <mergeCell ref="A55:H55"/>
    <mergeCell ref="A56:H56"/>
    <mergeCell ref="D26:D29"/>
    <mergeCell ref="E26:E29"/>
    <mergeCell ref="B30:C30"/>
    <mergeCell ref="B31:C31"/>
    <mergeCell ref="D31:D34"/>
    <mergeCell ref="E31:E34"/>
  </mergeCells>
  <pageMargins left="0.31496062992125984" right="0.31496062992125984" top="0.74803149606299213" bottom="0.35433070866141736" header="0.31496062992125984" footer="0.31496062992125984"/>
  <pageSetup paperSize="9" scale="54" orientation="landscape" r:id="rId1"/>
  <rowBreaks count="1" manualBreakCount="1">
    <brk id="34"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5">
    <pageSetUpPr fitToPage="1"/>
  </sheetPr>
  <dimension ref="A1:K63"/>
  <sheetViews>
    <sheetView showZeros="0" view="pageBreakPreview" topLeftCell="A35" zoomScale="75" zoomScaleNormal="100" zoomScaleSheetLayoutView="75" workbookViewId="0">
      <selection activeCell="A50" sqref="A50:H50"/>
    </sheetView>
  </sheetViews>
  <sheetFormatPr defaultRowHeight="12.75" x14ac:dyDescent="0.2"/>
  <cols>
    <col min="2" max="2" width="43.85546875" customWidth="1"/>
    <col min="3" max="3" width="49.42578125" customWidth="1"/>
    <col min="4" max="4" width="9.42578125" customWidth="1"/>
    <col min="5" max="5" width="9.140625" customWidth="1"/>
    <col min="6" max="6" width="15.5703125" customWidth="1"/>
    <col min="7" max="8" width="14.7109375" customWidth="1"/>
    <col min="9" max="9" width="13" customWidth="1"/>
    <col min="10" max="10" width="14.140625" customWidth="1"/>
    <col min="11" max="11" width="15.42578125" customWidth="1"/>
  </cols>
  <sheetData>
    <row r="1" spans="1:11" s="4" customFormat="1" ht="21.75" hidden="1" x14ac:dyDescent="0.3">
      <c r="B1" s="925" t="s">
        <v>249</v>
      </c>
      <c r="C1" s="925"/>
      <c r="D1" s="925"/>
      <c r="E1" s="925"/>
      <c r="F1" s="925"/>
      <c r="G1" s="925"/>
      <c r="H1" s="925"/>
    </row>
    <row r="2" spans="1:11" s="4" customFormat="1" ht="18.75" hidden="1" x14ac:dyDescent="0.3">
      <c r="B2" s="3"/>
      <c r="C2" s="3"/>
    </row>
    <row r="3" spans="1:11" s="13" customFormat="1" ht="19.5" hidden="1" customHeight="1" x14ac:dyDescent="0.25">
      <c r="A3" s="957" t="s">
        <v>153</v>
      </c>
      <c r="B3" s="960" t="s">
        <v>0</v>
      </c>
      <c r="C3" s="961"/>
      <c r="D3" s="930" t="s">
        <v>1</v>
      </c>
      <c r="E3" s="930" t="s">
        <v>154</v>
      </c>
      <c r="F3" s="930" t="s">
        <v>5</v>
      </c>
      <c r="G3" s="930"/>
      <c r="H3" s="930"/>
    </row>
    <row r="4" spans="1:11" s="13" customFormat="1" ht="15.75" hidden="1" x14ac:dyDescent="0.25">
      <c r="A4" s="958"/>
      <c r="B4" s="962"/>
      <c r="C4" s="963"/>
      <c r="D4" s="930"/>
      <c r="E4" s="930"/>
      <c r="F4" s="790">
        <v>2021</v>
      </c>
      <c r="G4" s="16">
        <v>2022</v>
      </c>
      <c r="H4" s="17">
        <v>2023</v>
      </c>
    </row>
    <row r="5" spans="1:11" s="13" customFormat="1" ht="47.25" hidden="1" x14ac:dyDescent="0.25">
      <c r="A5" s="959"/>
      <c r="B5" s="964"/>
      <c r="C5" s="965"/>
      <c r="D5" s="930"/>
      <c r="E5" s="930"/>
      <c r="F5" s="48" t="s">
        <v>2</v>
      </c>
      <c r="G5" s="49" t="s">
        <v>3</v>
      </c>
      <c r="H5" s="50" t="s">
        <v>4</v>
      </c>
    </row>
    <row r="6" spans="1:11" s="13" customFormat="1" ht="16.5" hidden="1" customHeight="1" x14ac:dyDescent="0.25">
      <c r="A6" s="51">
        <v>1</v>
      </c>
      <c r="B6" s="966" t="s">
        <v>7</v>
      </c>
      <c r="C6" s="967"/>
      <c r="D6" s="51" t="s">
        <v>8</v>
      </c>
      <c r="E6" s="51" t="s">
        <v>9</v>
      </c>
      <c r="F6" s="240">
        <v>5</v>
      </c>
      <c r="G6" s="241">
        <v>6</v>
      </c>
      <c r="H6" s="242">
        <v>7</v>
      </c>
      <c r="I6" s="13" t="s">
        <v>413</v>
      </c>
    </row>
    <row r="7" spans="1:11" s="13" customFormat="1" ht="21.75" hidden="1" customHeight="1" x14ac:dyDescent="0.25">
      <c r="A7" s="47">
        <v>1</v>
      </c>
      <c r="B7" s="953" t="s">
        <v>218</v>
      </c>
      <c r="C7" s="954"/>
      <c r="D7" s="64" t="s">
        <v>155</v>
      </c>
      <c r="E7" s="243" t="s">
        <v>23</v>
      </c>
      <c r="F7" s="244">
        <f>'2'!E72</f>
        <v>10747168.66</v>
      </c>
      <c r="G7" s="245">
        <f>'2'!F72</f>
        <v>10269419</v>
      </c>
      <c r="H7" s="246">
        <f>'2'!G72</f>
        <v>10269419</v>
      </c>
      <c r="I7" s="247">
        <f>F7-F10-F11</f>
        <v>4440258.78</v>
      </c>
      <c r="J7" s="247">
        <f t="shared" ref="J7:K7" si="0">G7-G10-G11</f>
        <v>4254900</v>
      </c>
      <c r="K7" s="247">
        <f t="shared" si="0"/>
        <v>4450882</v>
      </c>
    </row>
    <row r="8" spans="1:11" s="7" customFormat="1" ht="112.15" hidden="1" customHeight="1" x14ac:dyDescent="0.2">
      <c r="A8" s="39" t="s">
        <v>156</v>
      </c>
      <c r="B8" s="955" t="s">
        <v>216</v>
      </c>
      <c r="C8" s="956"/>
      <c r="D8" s="64" t="s">
        <v>157</v>
      </c>
      <c r="E8" s="243" t="s">
        <v>23</v>
      </c>
      <c r="F8" s="248"/>
      <c r="G8" s="249"/>
      <c r="H8" s="250"/>
    </row>
    <row r="9" spans="1:11" s="7" customFormat="1" ht="47.25" hidden="1" customHeight="1" x14ac:dyDescent="0.2">
      <c r="A9" s="39" t="s">
        <v>158</v>
      </c>
      <c r="B9" s="955" t="s">
        <v>219</v>
      </c>
      <c r="C9" s="956"/>
      <c r="D9" s="64" t="s">
        <v>159</v>
      </c>
      <c r="E9" s="243" t="s">
        <v>23</v>
      </c>
      <c r="F9" s="248"/>
      <c r="G9" s="249"/>
      <c r="H9" s="250"/>
    </row>
    <row r="10" spans="1:11" s="7" customFormat="1" ht="33" hidden="1" customHeight="1" x14ac:dyDescent="0.2">
      <c r="A10" s="39" t="s">
        <v>160</v>
      </c>
      <c r="B10" s="955" t="s">
        <v>220</v>
      </c>
      <c r="C10" s="956"/>
      <c r="D10" s="64" t="s">
        <v>162</v>
      </c>
      <c r="E10" s="243" t="s">
        <v>23</v>
      </c>
      <c r="F10" s="251">
        <f>Титульный!E177</f>
        <v>85932</v>
      </c>
      <c r="G10" s="252">
        <f>Титульный!F177</f>
        <v>0</v>
      </c>
      <c r="H10" s="253">
        <f>Титульный!G177</f>
        <v>0</v>
      </c>
    </row>
    <row r="11" spans="1:11" s="7" customFormat="1" ht="36" hidden="1" customHeight="1" x14ac:dyDescent="0.2">
      <c r="A11" s="39" t="s">
        <v>161</v>
      </c>
      <c r="B11" s="955" t="s">
        <v>221</v>
      </c>
      <c r="C11" s="956"/>
      <c r="D11" s="64" t="s">
        <v>163</v>
      </c>
      <c r="E11" s="243" t="s">
        <v>23</v>
      </c>
      <c r="F11" s="254">
        <f>F12+F15+F18+F19+F22</f>
        <v>6220977.8799999999</v>
      </c>
      <c r="G11" s="255">
        <f t="shared" ref="G11:H11" si="1">G12+G15+G18+G19+G22</f>
        <v>6014519</v>
      </c>
      <c r="H11" s="256">
        <f t="shared" si="1"/>
        <v>5818537</v>
      </c>
    </row>
    <row r="12" spans="1:11" s="7" customFormat="1" ht="48" hidden="1" customHeight="1" x14ac:dyDescent="0.2">
      <c r="A12" s="39" t="s">
        <v>164</v>
      </c>
      <c r="B12" s="955" t="s">
        <v>214</v>
      </c>
      <c r="C12" s="956"/>
      <c r="D12" s="64" t="s">
        <v>165</v>
      </c>
      <c r="E12" s="243" t="s">
        <v>23</v>
      </c>
      <c r="F12" s="248">
        <f>F13+F14</f>
        <v>4664977.88</v>
      </c>
      <c r="G12" s="249">
        <f t="shared" ref="G12:H12" si="2">G13+G14</f>
        <v>4383519</v>
      </c>
      <c r="H12" s="250">
        <f t="shared" si="2"/>
        <v>4187537</v>
      </c>
    </row>
    <row r="13" spans="1:11" s="7" customFormat="1" ht="33" hidden="1" customHeight="1" x14ac:dyDescent="0.2">
      <c r="A13" s="39" t="s">
        <v>166</v>
      </c>
      <c r="B13" s="955" t="s">
        <v>167</v>
      </c>
      <c r="C13" s="956"/>
      <c r="D13" s="64" t="s">
        <v>168</v>
      </c>
      <c r="E13" s="243" t="s">
        <v>23</v>
      </c>
      <c r="F13" s="251">
        <f>Титульный!R64-F10</f>
        <v>4664977.88</v>
      </c>
      <c r="G13" s="252">
        <f>Титульный!S64-G10</f>
        <v>4383519</v>
      </c>
      <c r="H13" s="253">
        <f>Титульный!T64-H10</f>
        <v>4187537</v>
      </c>
      <c r="I13" s="7" t="s">
        <v>414</v>
      </c>
    </row>
    <row r="14" spans="1:11" s="7" customFormat="1" ht="21.75" hidden="1" customHeight="1" x14ac:dyDescent="0.2">
      <c r="A14" s="39" t="s">
        <v>169</v>
      </c>
      <c r="B14" s="955" t="s">
        <v>217</v>
      </c>
      <c r="C14" s="956"/>
      <c r="D14" s="64" t="s">
        <v>170</v>
      </c>
      <c r="E14" s="243" t="s">
        <v>23</v>
      </c>
      <c r="F14" s="251"/>
      <c r="G14" s="252"/>
      <c r="H14" s="253"/>
      <c r="I14" s="7" t="s">
        <v>415</v>
      </c>
    </row>
    <row r="15" spans="1:11" s="7" customFormat="1" ht="33" hidden="1" customHeight="1" x14ac:dyDescent="0.2">
      <c r="A15" s="39" t="s">
        <v>171</v>
      </c>
      <c r="B15" s="955" t="s">
        <v>172</v>
      </c>
      <c r="C15" s="956"/>
      <c r="D15" s="64" t="s">
        <v>173</v>
      </c>
      <c r="E15" s="243" t="s">
        <v>23</v>
      </c>
      <c r="F15" s="248">
        <f>F16+F17</f>
        <v>500000</v>
      </c>
      <c r="G15" s="249">
        <f t="shared" ref="G15:H15" si="3">G16+G17</f>
        <v>575000</v>
      </c>
      <c r="H15" s="250">
        <f t="shared" si="3"/>
        <v>575000</v>
      </c>
    </row>
    <row r="16" spans="1:11" s="7" customFormat="1" ht="33" hidden="1" customHeight="1" x14ac:dyDescent="0.2">
      <c r="A16" s="39" t="s">
        <v>174</v>
      </c>
      <c r="B16" s="955" t="s">
        <v>167</v>
      </c>
      <c r="C16" s="956"/>
      <c r="D16" s="64" t="s">
        <v>175</v>
      </c>
      <c r="E16" s="243" t="s">
        <v>23</v>
      </c>
      <c r="F16" s="251">
        <f>Титульный!R137</f>
        <v>500000</v>
      </c>
      <c r="G16" s="252">
        <f>Титульный!S137</f>
        <v>575000</v>
      </c>
      <c r="H16" s="253">
        <f>Титульный!T137</f>
        <v>575000</v>
      </c>
      <c r="I16" s="7" t="s">
        <v>428</v>
      </c>
    </row>
    <row r="17" spans="1:9" s="7" customFormat="1" ht="21.75" hidden="1" customHeight="1" x14ac:dyDescent="0.2">
      <c r="A17" s="39" t="s">
        <v>176</v>
      </c>
      <c r="B17" s="955" t="s">
        <v>217</v>
      </c>
      <c r="C17" s="956"/>
      <c r="D17" s="64" t="s">
        <v>177</v>
      </c>
      <c r="E17" s="243" t="s">
        <v>23</v>
      </c>
      <c r="F17" s="251"/>
      <c r="G17" s="252"/>
      <c r="H17" s="253"/>
      <c r="I17" s="7" t="s">
        <v>416</v>
      </c>
    </row>
    <row r="18" spans="1:9" s="7" customFormat="1" ht="21.75" hidden="1" customHeight="1" x14ac:dyDescent="0.2">
      <c r="A18" s="39" t="s">
        <v>178</v>
      </c>
      <c r="B18" s="955" t="s">
        <v>222</v>
      </c>
      <c r="C18" s="956"/>
      <c r="D18" s="64" t="s">
        <v>179</v>
      </c>
      <c r="E18" s="243" t="s">
        <v>23</v>
      </c>
      <c r="F18" s="248"/>
      <c r="G18" s="249"/>
      <c r="H18" s="250"/>
    </row>
    <row r="19" spans="1:9" s="7" customFormat="1" ht="21.75" hidden="1" customHeight="1" x14ac:dyDescent="0.2">
      <c r="A19" s="39" t="s">
        <v>180</v>
      </c>
      <c r="B19" s="955" t="s">
        <v>181</v>
      </c>
      <c r="C19" s="956"/>
      <c r="D19" s="64" t="s">
        <v>182</v>
      </c>
      <c r="E19" s="243" t="s">
        <v>23</v>
      </c>
      <c r="F19" s="248"/>
      <c r="G19" s="249"/>
      <c r="H19" s="250"/>
    </row>
    <row r="20" spans="1:9" s="7" customFormat="1" ht="33" hidden="1" customHeight="1" x14ac:dyDescent="0.2">
      <c r="A20" s="39" t="s">
        <v>183</v>
      </c>
      <c r="B20" s="955" t="s">
        <v>167</v>
      </c>
      <c r="C20" s="956"/>
      <c r="D20" s="64" t="s">
        <v>184</v>
      </c>
      <c r="E20" s="243" t="s">
        <v>23</v>
      </c>
      <c r="F20" s="248"/>
      <c r="G20" s="249"/>
      <c r="H20" s="250"/>
    </row>
    <row r="21" spans="1:9" s="7" customFormat="1" ht="21.75" hidden="1" customHeight="1" x14ac:dyDescent="0.2">
      <c r="A21" s="39" t="s">
        <v>185</v>
      </c>
      <c r="B21" s="955" t="s">
        <v>217</v>
      </c>
      <c r="C21" s="956"/>
      <c r="D21" s="64" t="s">
        <v>186</v>
      </c>
      <c r="E21" s="243" t="s">
        <v>23</v>
      </c>
      <c r="F21" s="248"/>
      <c r="G21" s="249"/>
      <c r="H21" s="250"/>
    </row>
    <row r="22" spans="1:9" s="7" customFormat="1" ht="21.75" hidden="1" customHeight="1" x14ac:dyDescent="0.2">
      <c r="A22" s="39" t="s">
        <v>187</v>
      </c>
      <c r="B22" s="955" t="s">
        <v>188</v>
      </c>
      <c r="C22" s="956"/>
      <c r="D22" s="64" t="s">
        <v>189</v>
      </c>
      <c r="E22" s="243" t="s">
        <v>23</v>
      </c>
      <c r="F22" s="248">
        <f>F23+F24</f>
        <v>1056000</v>
      </c>
      <c r="G22" s="249">
        <f t="shared" ref="G22:H22" si="4">G23+G24</f>
        <v>1056000</v>
      </c>
      <c r="H22" s="250">
        <f t="shared" si="4"/>
        <v>1056000</v>
      </c>
    </row>
    <row r="23" spans="1:9" s="7" customFormat="1" ht="33" hidden="1" customHeight="1" x14ac:dyDescent="0.2">
      <c r="A23" s="39" t="s">
        <v>190</v>
      </c>
      <c r="B23" s="955" t="s">
        <v>167</v>
      </c>
      <c r="C23" s="956"/>
      <c r="D23" s="64" t="s">
        <v>191</v>
      </c>
      <c r="E23" s="243" t="s">
        <v>23</v>
      </c>
      <c r="F23" s="251">
        <f>Титульный!R17</f>
        <v>1056000</v>
      </c>
      <c r="G23" s="252">
        <f>Титульный!S17</f>
        <v>1056000</v>
      </c>
      <c r="H23" s="253">
        <f>Титульный!T17</f>
        <v>1056000</v>
      </c>
      <c r="I23" s="7" t="s">
        <v>427</v>
      </c>
    </row>
    <row r="24" spans="1:9" s="7" customFormat="1" ht="21.75" hidden="1" customHeight="1" x14ac:dyDescent="0.2">
      <c r="A24" s="46" t="s">
        <v>192</v>
      </c>
      <c r="B24" s="944" t="s">
        <v>193</v>
      </c>
      <c r="C24" s="945"/>
      <c r="D24" s="794" t="s">
        <v>194</v>
      </c>
      <c r="E24" s="257" t="s">
        <v>23</v>
      </c>
      <c r="F24" s="258"/>
      <c r="G24" s="259"/>
      <c r="H24" s="260"/>
      <c r="I24" s="7" t="s">
        <v>417</v>
      </c>
    </row>
    <row r="25" spans="1:9" s="7" customFormat="1" ht="34.9" hidden="1" customHeight="1" x14ac:dyDescent="0.2">
      <c r="A25" s="43" t="s">
        <v>7</v>
      </c>
      <c r="B25" s="953" t="s">
        <v>223</v>
      </c>
      <c r="C25" s="954"/>
      <c r="D25" s="65" t="s">
        <v>195</v>
      </c>
      <c r="E25" s="65" t="s">
        <v>23</v>
      </c>
      <c r="F25" s="261">
        <f>F23+F16+F13</f>
        <v>6220977.8799999999</v>
      </c>
      <c r="G25" s="262">
        <f>G23+G16+G13</f>
        <v>6014519</v>
      </c>
      <c r="H25" s="263">
        <f>H23+H16+H13</f>
        <v>5818537</v>
      </c>
    </row>
    <row r="26" spans="1:9" s="7" customFormat="1" ht="15.6" hidden="1" customHeight="1" x14ac:dyDescent="0.2">
      <c r="A26" s="39"/>
      <c r="B26" s="955" t="s">
        <v>196</v>
      </c>
      <c r="C26" s="956"/>
      <c r="D26" s="950" t="s">
        <v>197</v>
      </c>
      <c r="E26" s="950"/>
      <c r="F26" s="248"/>
      <c r="G26" s="249"/>
      <c r="H26" s="250"/>
    </row>
    <row r="27" spans="1:9" s="7" customFormat="1" ht="15.6" hidden="1" customHeight="1" x14ac:dyDescent="0.2">
      <c r="A27" s="46"/>
      <c r="B27" s="176" t="s">
        <v>418</v>
      </c>
      <c r="C27" s="177"/>
      <c r="D27" s="951"/>
      <c r="E27" s="951"/>
      <c r="F27" s="264">
        <f>F25</f>
        <v>6220977.8799999999</v>
      </c>
      <c r="G27" s="265"/>
      <c r="H27" s="250"/>
    </row>
    <row r="28" spans="1:9" s="7" customFormat="1" ht="15.6" hidden="1" customHeight="1" x14ac:dyDescent="0.2">
      <c r="A28" s="46"/>
      <c r="B28" s="176" t="s">
        <v>419</v>
      </c>
      <c r="C28" s="177"/>
      <c r="D28" s="951"/>
      <c r="E28" s="951"/>
      <c r="F28" s="271"/>
      <c r="G28" s="266">
        <f>G25-G10</f>
        <v>6014519</v>
      </c>
      <c r="H28" s="250"/>
    </row>
    <row r="29" spans="1:9" s="7" customFormat="1" ht="15.6" hidden="1" customHeight="1" x14ac:dyDescent="0.2">
      <c r="A29" s="42"/>
      <c r="B29" s="944" t="s">
        <v>820</v>
      </c>
      <c r="C29" s="945"/>
      <c r="D29" s="952"/>
      <c r="E29" s="952"/>
      <c r="F29" s="271"/>
      <c r="G29" s="273"/>
      <c r="H29" s="272">
        <f>H25-H10</f>
        <v>5818537</v>
      </c>
    </row>
    <row r="30" spans="1:9" s="7" customFormat="1" ht="30.6" hidden="1" customHeight="1" x14ac:dyDescent="0.2">
      <c r="A30" s="43" t="s">
        <v>8</v>
      </c>
      <c r="B30" s="953" t="s">
        <v>198</v>
      </c>
      <c r="C30" s="954"/>
      <c r="D30" s="66" t="s">
        <v>199</v>
      </c>
      <c r="E30" s="66" t="s">
        <v>23</v>
      </c>
      <c r="F30" s="267"/>
      <c r="G30" s="262"/>
      <c r="H30" s="268"/>
    </row>
    <row r="31" spans="1:9" s="7" customFormat="1" ht="16.5" hidden="1" customHeight="1" x14ac:dyDescent="0.2">
      <c r="A31" s="39"/>
      <c r="B31" s="955" t="s">
        <v>196</v>
      </c>
      <c r="C31" s="956"/>
      <c r="D31" s="950" t="s">
        <v>200</v>
      </c>
      <c r="E31" s="950"/>
      <c r="F31" s="249"/>
      <c r="G31" s="249"/>
      <c r="H31" s="250"/>
    </row>
    <row r="32" spans="1:9" s="7" customFormat="1" ht="15.75" hidden="1" x14ac:dyDescent="0.2">
      <c r="A32" s="46"/>
      <c r="B32" s="176" t="s">
        <v>418</v>
      </c>
      <c r="C32" s="177"/>
      <c r="D32" s="951"/>
      <c r="E32" s="951"/>
      <c r="F32" s="264"/>
      <c r="G32" s="249"/>
      <c r="H32" s="249"/>
    </row>
    <row r="33" spans="1:8" s="7" customFormat="1" ht="15.75" hidden="1" x14ac:dyDescent="0.2">
      <c r="A33" s="46"/>
      <c r="B33" s="176" t="s">
        <v>419</v>
      </c>
      <c r="C33" s="177"/>
      <c r="D33" s="951"/>
      <c r="E33" s="951"/>
      <c r="F33" s="249"/>
      <c r="G33" s="266"/>
      <c r="H33" s="269"/>
    </row>
    <row r="34" spans="1:8" s="7" customFormat="1" ht="15.75" hidden="1" x14ac:dyDescent="0.2">
      <c r="A34" s="42"/>
      <c r="B34" s="944" t="s">
        <v>820</v>
      </c>
      <c r="C34" s="945"/>
      <c r="D34" s="952"/>
      <c r="E34" s="952"/>
      <c r="F34" s="274"/>
      <c r="G34" s="273"/>
      <c r="H34" s="275"/>
    </row>
    <row r="35" spans="1:8" s="31" customFormat="1" ht="15.75" x14ac:dyDescent="0.2">
      <c r="B35" s="35"/>
      <c r="C35" s="35"/>
      <c r="D35" s="32"/>
      <c r="E35" s="32"/>
      <c r="F35" s="33"/>
    </row>
    <row r="36" spans="1:8" ht="15.75" x14ac:dyDescent="0.25">
      <c r="B36" s="2" t="s">
        <v>201</v>
      </c>
      <c r="C36" s="318" t="s">
        <v>459</v>
      </c>
      <c r="D36" s="968"/>
      <c r="E36" s="969"/>
      <c r="F36" s="970" t="str">
        <f>Титульный!E161</f>
        <v>Шовская Т.В.</v>
      </c>
      <c r="G36" s="971"/>
      <c r="H36" s="972"/>
    </row>
    <row r="37" spans="1:8" ht="15.75" x14ac:dyDescent="0.25">
      <c r="B37" s="2" t="s">
        <v>202</v>
      </c>
      <c r="C37" s="795" t="s">
        <v>203</v>
      </c>
      <c r="D37" s="973" t="s">
        <v>12</v>
      </c>
      <c r="E37" s="973"/>
      <c r="F37" s="903" t="s">
        <v>13</v>
      </c>
      <c r="G37" s="903"/>
      <c r="H37" s="903"/>
    </row>
    <row r="38" spans="1:8" ht="15.75" x14ac:dyDescent="0.25">
      <c r="B38" s="2"/>
      <c r="C38" s="796"/>
      <c r="D38" s="796"/>
      <c r="E38" s="792"/>
      <c r="F38" s="792"/>
      <c r="G38" s="792"/>
      <c r="H38" s="792"/>
    </row>
    <row r="39" spans="1:8" ht="15" customHeight="1" x14ac:dyDescent="0.25">
      <c r="B39" s="2" t="s">
        <v>204</v>
      </c>
      <c r="C39" s="317" t="s">
        <v>460</v>
      </c>
      <c r="D39" s="974" t="str">
        <f>Титульный!E162</f>
        <v>Тушина М.О.</v>
      </c>
      <c r="E39" s="975"/>
      <c r="F39" s="976"/>
      <c r="G39" s="977" t="s">
        <v>461</v>
      </c>
      <c r="H39" s="978"/>
    </row>
    <row r="40" spans="1:8" ht="15.75" x14ac:dyDescent="0.2">
      <c r="B40" s="1"/>
      <c r="C40" s="795" t="s">
        <v>203</v>
      </c>
      <c r="D40" s="973" t="s">
        <v>205</v>
      </c>
      <c r="E40" s="973"/>
      <c r="F40" s="973"/>
      <c r="G40" s="903" t="s">
        <v>206</v>
      </c>
      <c r="H40" s="903"/>
    </row>
    <row r="41" spans="1:8" ht="13.5" thickBot="1" x14ac:dyDescent="0.25">
      <c r="B41" s="1"/>
      <c r="C41" s="1"/>
      <c r="D41" s="1"/>
    </row>
    <row r="42" spans="1:8" s="13" customFormat="1" ht="15.75" x14ac:dyDescent="0.25">
      <c r="A42" s="59" t="s">
        <v>207</v>
      </c>
      <c r="B42" s="53"/>
      <c r="C42" s="53"/>
      <c r="D42" s="53"/>
      <c r="E42" s="54"/>
    </row>
    <row r="43" spans="1:8" s="13" customFormat="1" ht="15.75" x14ac:dyDescent="0.25">
      <c r="A43" s="979" t="s">
        <v>231</v>
      </c>
      <c r="B43" s="980"/>
      <c r="C43" s="980"/>
      <c r="D43" s="980"/>
      <c r="E43" s="981"/>
    </row>
    <row r="44" spans="1:8" s="13" customFormat="1" ht="15.75" x14ac:dyDescent="0.25">
      <c r="A44" s="982" t="s">
        <v>215</v>
      </c>
      <c r="B44" s="983"/>
      <c r="C44" s="983"/>
      <c r="D44" s="983"/>
      <c r="E44" s="984"/>
    </row>
    <row r="45" spans="1:8" s="13" customFormat="1" ht="12.75" customHeight="1" x14ac:dyDescent="0.25">
      <c r="A45" s="55"/>
      <c r="B45" s="34"/>
      <c r="C45" s="34"/>
      <c r="D45" s="34"/>
      <c r="E45" s="56"/>
    </row>
    <row r="46" spans="1:8" s="13" customFormat="1" ht="38.25" customHeight="1" x14ac:dyDescent="0.25">
      <c r="A46" s="979"/>
      <c r="B46" s="980"/>
      <c r="C46" s="980" t="s">
        <v>230</v>
      </c>
      <c r="D46" s="980"/>
      <c r="E46" s="981"/>
    </row>
    <row r="47" spans="1:8" s="13" customFormat="1" ht="19.899999999999999" customHeight="1" x14ac:dyDescent="0.25">
      <c r="A47" s="985" t="s">
        <v>12</v>
      </c>
      <c r="B47" s="903"/>
      <c r="C47" s="903" t="s">
        <v>13</v>
      </c>
      <c r="D47" s="903"/>
      <c r="E47" s="986"/>
    </row>
    <row r="48" spans="1:8" s="13" customFormat="1" ht="33" customHeight="1" x14ac:dyDescent="0.25">
      <c r="A48" s="55"/>
      <c r="B48" s="34"/>
      <c r="C48" s="34"/>
      <c r="D48" s="34"/>
      <c r="E48" s="56"/>
    </row>
    <row r="49" spans="1:8" s="12" customFormat="1" ht="21.75" customHeight="1" thickBot="1" x14ac:dyDescent="0.3">
      <c r="A49" s="987" t="str">
        <f>'1'!E12</f>
        <v>« 31 » декабря 2020 г.</v>
      </c>
      <c r="B49" s="988"/>
      <c r="C49" s="57"/>
      <c r="D49" s="57"/>
      <c r="E49" s="58"/>
    </row>
    <row r="50" spans="1:8" s="793" customFormat="1" ht="21.75" customHeight="1" x14ac:dyDescent="0.2">
      <c r="A50" s="947" t="s">
        <v>420</v>
      </c>
      <c r="B50" s="948"/>
      <c r="C50" s="948"/>
      <c r="D50" s="948"/>
      <c r="E50" s="948"/>
      <c r="F50" s="948"/>
      <c r="G50" s="948"/>
      <c r="H50" s="948"/>
    </row>
    <row r="51" spans="1:8" s="270" customFormat="1" ht="72.599999999999994" customHeight="1" x14ac:dyDescent="0.2">
      <c r="A51" s="949" t="s">
        <v>421</v>
      </c>
      <c r="B51" s="949"/>
      <c r="C51" s="949"/>
      <c r="D51" s="949"/>
      <c r="E51" s="949"/>
      <c r="F51" s="949"/>
      <c r="G51" s="949"/>
      <c r="H51" s="949"/>
    </row>
    <row r="52" spans="1:8" s="270" customFormat="1" ht="34.9" customHeight="1" x14ac:dyDescent="0.2">
      <c r="A52" s="949" t="s">
        <v>422</v>
      </c>
      <c r="B52" s="949"/>
      <c r="C52" s="949"/>
      <c r="D52" s="949"/>
      <c r="E52" s="949"/>
      <c r="F52" s="949"/>
      <c r="G52" s="949"/>
      <c r="H52" s="949"/>
    </row>
    <row r="53" spans="1:8" s="270" customFormat="1" x14ac:dyDescent="0.2">
      <c r="A53" s="949" t="s">
        <v>423</v>
      </c>
      <c r="B53" s="949"/>
      <c r="C53" s="949"/>
      <c r="D53" s="949"/>
      <c r="E53" s="949"/>
      <c r="F53" s="949"/>
      <c r="G53" s="949"/>
      <c r="H53" s="949"/>
    </row>
    <row r="54" spans="1:8" s="270" customFormat="1" ht="16.149999999999999" customHeight="1" x14ac:dyDescent="0.2">
      <c r="A54" s="949" t="s">
        <v>424</v>
      </c>
      <c r="B54" s="949"/>
      <c r="C54" s="949"/>
      <c r="D54" s="949"/>
      <c r="E54" s="949"/>
      <c r="F54" s="949"/>
      <c r="G54" s="949"/>
      <c r="H54" s="949"/>
    </row>
    <row r="55" spans="1:8" s="270" customFormat="1" ht="13.9" customHeight="1" x14ac:dyDescent="0.2">
      <c r="A55" s="949" t="s">
        <v>425</v>
      </c>
      <c r="B55" s="949"/>
      <c r="C55" s="949"/>
      <c r="D55" s="949"/>
      <c r="E55" s="949"/>
      <c r="F55" s="949"/>
      <c r="G55" s="949"/>
      <c r="H55" s="949"/>
    </row>
    <row r="56" spans="1:8" s="270" customFormat="1" ht="35.450000000000003" customHeight="1" x14ac:dyDescent="0.2">
      <c r="A56" s="949" t="s">
        <v>426</v>
      </c>
      <c r="B56" s="949"/>
      <c r="C56" s="949"/>
      <c r="D56" s="949"/>
      <c r="E56" s="949"/>
      <c r="F56" s="949"/>
      <c r="G56" s="949"/>
      <c r="H56" s="949"/>
    </row>
    <row r="57" spans="1:8" x14ac:dyDescent="0.2">
      <c r="A57" s="946"/>
      <c r="B57" s="946"/>
      <c r="C57" s="946"/>
      <c r="D57" s="946"/>
      <c r="E57" s="946"/>
      <c r="F57" s="946"/>
      <c r="G57" s="946"/>
      <c r="H57" s="946"/>
    </row>
    <row r="58" spans="1:8" x14ac:dyDescent="0.2">
      <c r="A58" s="946"/>
      <c r="B58" s="946"/>
      <c r="C58" s="946"/>
      <c r="D58" s="946"/>
      <c r="E58" s="946"/>
      <c r="F58" s="946"/>
      <c r="G58" s="946"/>
      <c r="H58" s="946"/>
    </row>
    <row r="59" spans="1:8" x14ac:dyDescent="0.2">
      <c r="A59" s="946"/>
      <c r="B59" s="946"/>
      <c r="C59" s="946"/>
      <c r="D59" s="946"/>
      <c r="E59" s="946"/>
      <c r="F59" s="946"/>
      <c r="G59" s="946"/>
      <c r="H59" s="946"/>
    </row>
    <row r="60" spans="1:8" x14ac:dyDescent="0.2">
      <c r="A60" s="946"/>
      <c r="B60" s="946"/>
      <c r="C60" s="946"/>
      <c r="D60" s="946"/>
      <c r="E60" s="946"/>
      <c r="F60" s="946"/>
      <c r="G60" s="946"/>
      <c r="H60" s="946"/>
    </row>
    <row r="61" spans="1:8" x14ac:dyDescent="0.2">
      <c r="A61" s="946"/>
      <c r="B61" s="946"/>
      <c r="C61" s="946"/>
      <c r="D61" s="946"/>
      <c r="E61" s="946"/>
      <c r="F61" s="946"/>
      <c r="G61" s="946"/>
      <c r="H61" s="946"/>
    </row>
    <row r="62" spans="1:8" x14ac:dyDescent="0.2">
      <c r="A62" s="946"/>
      <c r="B62" s="946"/>
      <c r="C62" s="946"/>
      <c r="D62" s="946"/>
      <c r="E62" s="946"/>
      <c r="F62" s="946"/>
      <c r="G62" s="946"/>
      <c r="H62" s="946"/>
    </row>
    <row r="63" spans="1:8" x14ac:dyDescent="0.2">
      <c r="A63" s="946"/>
      <c r="B63" s="946"/>
      <c r="C63" s="946"/>
      <c r="D63" s="946"/>
      <c r="E63" s="946"/>
      <c r="F63" s="946"/>
      <c r="G63" s="946"/>
      <c r="H63" s="946"/>
    </row>
  </sheetData>
  <mergeCells count="64">
    <mergeCell ref="B11:C11"/>
    <mergeCell ref="B1:H1"/>
    <mergeCell ref="A3:A5"/>
    <mergeCell ref="B3:C5"/>
    <mergeCell ref="D3:D5"/>
    <mergeCell ref="E3:E5"/>
    <mergeCell ref="F3:H3"/>
    <mergeCell ref="B6:C6"/>
    <mergeCell ref="B7:C7"/>
    <mergeCell ref="B8:C8"/>
    <mergeCell ref="B9:C9"/>
    <mergeCell ref="B10:C10"/>
    <mergeCell ref="B23:C23"/>
    <mergeCell ref="B12:C12"/>
    <mergeCell ref="B13:C13"/>
    <mergeCell ref="B14:C14"/>
    <mergeCell ref="B15:C15"/>
    <mergeCell ref="B16:C16"/>
    <mergeCell ref="B17:C17"/>
    <mergeCell ref="B18:C18"/>
    <mergeCell ref="B19:C19"/>
    <mergeCell ref="B20:C20"/>
    <mergeCell ref="B21:C21"/>
    <mergeCell ref="B22:C22"/>
    <mergeCell ref="B24:C24"/>
    <mergeCell ref="B25:C25"/>
    <mergeCell ref="B26:C26"/>
    <mergeCell ref="D26:D29"/>
    <mergeCell ref="E26:E29"/>
    <mergeCell ref="B29:C29"/>
    <mergeCell ref="D40:F40"/>
    <mergeCell ref="G40:H40"/>
    <mergeCell ref="B30:C30"/>
    <mergeCell ref="B31:C31"/>
    <mergeCell ref="D31:D34"/>
    <mergeCell ref="E31:E34"/>
    <mergeCell ref="B34:C34"/>
    <mergeCell ref="D36:E36"/>
    <mergeCell ref="F36:H36"/>
    <mergeCell ref="D37:E37"/>
    <mergeCell ref="F37:H37"/>
    <mergeCell ref="D39:F39"/>
    <mergeCell ref="G39:H39"/>
    <mergeCell ref="A54:H54"/>
    <mergeCell ref="A43:E43"/>
    <mergeCell ref="A44:E44"/>
    <mergeCell ref="A46:B46"/>
    <mergeCell ref="C46:E46"/>
    <mergeCell ref="A47:B47"/>
    <mergeCell ref="C47:E47"/>
    <mergeCell ref="A49:B49"/>
    <mergeCell ref="A50:H50"/>
    <mergeCell ref="A51:H51"/>
    <mergeCell ref="A52:H52"/>
    <mergeCell ref="A53:H53"/>
    <mergeCell ref="A61:H61"/>
    <mergeCell ref="A62:H62"/>
    <mergeCell ref="A63:H63"/>
    <mergeCell ref="A55:H55"/>
    <mergeCell ref="A56:H56"/>
    <mergeCell ref="A57:H57"/>
    <mergeCell ref="A58:H58"/>
    <mergeCell ref="A59:H59"/>
    <mergeCell ref="A60:H60"/>
  </mergeCells>
  <pageMargins left="0.31496062992125984" right="0.31496062992125984" top="0.74803149606299213" bottom="0.35433070866141736" header="0.31496062992125984" footer="0.31496062992125984"/>
  <pageSetup paperSize="9" scale="59" orientation="portrait" r:id="rId1"/>
  <rowBreaks count="1" manualBreakCount="1">
    <brk id="34"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6"/>
  <dimension ref="A1:V126"/>
  <sheetViews>
    <sheetView view="pageBreakPreview" topLeftCell="A112" zoomScale="70" zoomScaleNormal="72" zoomScaleSheetLayoutView="70" workbookViewId="0">
      <selection activeCell="J56" sqref="J56"/>
    </sheetView>
  </sheetViews>
  <sheetFormatPr defaultColWidth="8.85546875" defaultRowHeight="12.75" x14ac:dyDescent="0.2"/>
  <cols>
    <col min="1" max="1" width="18.5703125" style="331" customWidth="1"/>
    <col min="2" max="2" width="4.85546875" style="331" customWidth="1"/>
    <col min="3" max="3" width="69.42578125" style="331" customWidth="1"/>
    <col min="4" max="12" width="12.7109375" style="331" customWidth="1"/>
    <col min="13" max="19" width="8.85546875" style="331"/>
    <col min="20" max="20" width="17.5703125" style="331" customWidth="1"/>
    <col min="21" max="16384" width="8.85546875" style="331"/>
  </cols>
  <sheetData>
    <row r="1" spans="1:22" ht="15.75" x14ac:dyDescent="0.2">
      <c r="I1" s="353"/>
      <c r="J1" s="353"/>
      <c r="K1" s="353"/>
      <c r="L1" s="633" t="s">
        <v>475</v>
      </c>
    </row>
    <row r="2" spans="1:22" ht="15.75" x14ac:dyDescent="0.2">
      <c r="I2" s="353"/>
      <c r="J2" s="353"/>
      <c r="K2" s="353"/>
      <c r="L2" s="633" t="s">
        <v>476</v>
      </c>
      <c r="Q2" s="353" t="s">
        <v>657</v>
      </c>
    </row>
    <row r="3" spans="1:22" ht="15.75" x14ac:dyDescent="0.2">
      <c r="I3" s="353"/>
      <c r="J3" s="353"/>
      <c r="K3" s="353"/>
      <c r="L3" s="633" t="s">
        <v>477</v>
      </c>
    </row>
    <row r="4" spans="1:22" ht="15.75" x14ac:dyDescent="0.2">
      <c r="I4" s="353"/>
      <c r="J4" s="353"/>
      <c r="K4" s="353"/>
      <c r="L4" s="633" t="s">
        <v>478</v>
      </c>
    </row>
    <row r="5" spans="1:22" ht="15.75" x14ac:dyDescent="0.2">
      <c r="I5" s="353"/>
      <c r="J5" s="353"/>
      <c r="K5" s="353"/>
      <c r="L5" s="633" t="s">
        <v>479</v>
      </c>
      <c r="Q5" s="331" t="s">
        <v>658</v>
      </c>
      <c r="S5" s="331" t="s">
        <v>659</v>
      </c>
      <c r="T5" s="354">
        <f>'2'!E10+'2'!E13+'2'!E17+'2'!E21+'2'!E25+'2'!E30+'2'!E34</f>
        <v>88286658</v>
      </c>
    </row>
    <row r="6" spans="1:22" x14ac:dyDescent="0.2">
      <c r="S6" s="331" t="s">
        <v>660</v>
      </c>
      <c r="T6" s="354">
        <f>'2'!F10+'2'!F13+'2'!F17+'2'!F21+'2'!F25+'2'!F30+'2'!F34</f>
        <v>88829357</v>
      </c>
    </row>
    <row r="7" spans="1:22" ht="20.25" x14ac:dyDescent="0.2">
      <c r="A7" s="1068" t="s">
        <v>480</v>
      </c>
      <c r="B7" s="1068"/>
      <c r="C7" s="1068"/>
      <c r="D7" s="1068"/>
      <c r="E7" s="1068"/>
      <c r="F7" s="1068"/>
      <c r="G7" s="1068"/>
      <c r="H7" s="1068"/>
      <c r="I7" s="1068"/>
      <c r="J7" s="1068"/>
      <c r="K7" s="1068"/>
      <c r="L7" s="1068"/>
      <c r="S7" s="331" t="s">
        <v>821</v>
      </c>
      <c r="T7" s="354">
        <f>'2'!G10+'2'!G13+'2'!G17+'2'!G21+'2'!G25+'2'!G30+'2'!G34</f>
        <v>90228536</v>
      </c>
    </row>
    <row r="8" spans="1:22" ht="20.25" x14ac:dyDescent="0.2">
      <c r="A8" s="1068" t="s">
        <v>481</v>
      </c>
      <c r="B8" s="1068"/>
      <c r="C8" s="1068"/>
      <c r="D8" s="1068"/>
      <c r="E8" s="1068"/>
      <c r="F8" s="1068"/>
      <c r="G8" s="1068"/>
      <c r="H8" s="1068"/>
      <c r="I8" s="1068"/>
      <c r="J8" s="1068"/>
      <c r="K8" s="1068"/>
      <c r="L8" s="1068"/>
    </row>
    <row r="9" spans="1:22" ht="20.25" x14ac:dyDescent="0.2">
      <c r="A9" s="1068" t="s">
        <v>829</v>
      </c>
      <c r="B9" s="1068"/>
      <c r="C9" s="1068"/>
      <c r="D9" s="1068"/>
      <c r="E9" s="1068"/>
      <c r="F9" s="1068"/>
      <c r="G9" s="1068"/>
      <c r="H9" s="1068"/>
      <c r="I9" s="1068"/>
      <c r="J9" s="1068"/>
      <c r="K9" s="1068"/>
      <c r="L9" s="1068"/>
    </row>
    <row r="10" spans="1:22" ht="12" customHeight="1" x14ac:dyDescent="0.2">
      <c r="A10" s="332"/>
      <c r="Q10" s="331" t="s">
        <v>661</v>
      </c>
      <c r="S10" s="331" t="s">
        <v>659</v>
      </c>
      <c r="T10" s="354">
        <f>J21+D34+D73+D93+D104+J116+J126</f>
        <v>88286658</v>
      </c>
    </row>
    <row r="11" spans="1:22" ht="12" customHeight="1" x14ac:dyDescent="0.2">
      <c r="S11" s="331" t="s">
        <v>660</v>
      </c>
      <c r="T11" s="354">
        <f>K21+G34+G73+G93+G104+K116+K126</f>
        <v>88829357</v>
      </c>
    </row>
    <row r="12" spans="1:22" s="426" customFormat="1" ht="12" customHeight="1" x14ac:dyDescent="0.2">
      <c r="T12" s="354"/>
    </row>
    <row r="13" spans="1:22" ht="27.75" customHeight="1" x14ac:dyDescent="0.2">
      <c r="A13" s="989" t="s">
        <v>482</v>
      </c>
      <c r="B13" s="989"/>
      <c r="C13" s="989"/>
      <c r="D13" s="989"/>
      <c r="E13" s="989"/>
      <c r="F13" s="989"/>
      <c r="G13" s="989"/>
      <c r="H13" s="989"/>
      <c r="I13" s="989"/>
      <c r="J13" s="989"/>
      <c r="K13" s="989"/>
      <c r="L13" s="989"/>
      <c r="S13" s="331" t="s">
        <v>821</v>
      </c>
      <c r="T13" s="354">
        <f>L21+J34+J73+J93+J104+L116+L126</f>
        <v>90228536</v>
      </c>
    </row>
    <row r="14" spans="1:22" ht="12" customHeight="1" x14ac:dyDescent="0.2"/>
    <row r="15" spans="1:22" ht="51.75" customHeight="1" x14ac:dyDescent="0.2">
      <c r="A15" s="1034" t="s">
        <v>483</v>
      </c>
      <c r="B15" s="1000" t="s">
        <v>484</v>
      </c>
      <c r="C15" s="1037" t="s">
        <v>0</v>
      </c>
      <c r="D15" s="1039" t="s">
        <v>485</v>
      </c>
      <c r="E15" s="1040"/>
      <c r="F15" s="1041"/>
      <c r="G15" s="1039" t="s">
        <v>486</v>
      </c>
      <c r="H15" s="1040"/>
      <c r="I15" s="1041"/>
      <c r="J15" s="1067" t="s">
        <v>487</v>
      </c>
      <c r="K15" s="1040"/>
      <c r="L15" s="1041"/>
      <c r="Q15" s="355" t="s">
        <v>662</v>
      </c>
      <c r="S15" s="355" t="s">
        <v>659</v>
      </c>
      <c r="T15" s="356">
        <f>T5-T10</f>
        <v>0</v>
      </c>
      <c r="U15" s="1055" t="s">
        <v>663</v>
      </c>
      <c r="V15" s="1056"/>
    </row>
    <row r="16" spans="1:22" ht="51" x14ac:dyDescent="0.2">
      <c r="A16" s="1035"/>
      <c r="B16" s="1036"/>
      <c r="C16" s="1038"/>
      <c r="D16" s="619" t="s">
        <v>830</v>
      </c>
      <c r="E16" s="433" t="s">
        <v>824</v>
      </c>
      <c r="F16" s="429" t="s">
        <v>822</v>
      </c>
      <c r="G16" s="619" t="s">
        <v>830</v>
      </c>
      <c r="H16" s="433" t="s">
        <v>824</v>
      </c>
      <c r="I16" s="429" t="s">
        <v>822</v>
      </c>
      <c r="J16" s="620" t="s">
        <v>830</v>
      </c>
      <c r="K16" s="433" t="s">
        <v>824</v>
      </c>
      <c r="L16" s="429" t="s">
        <v>822</v>
      </c>
      <c r="S16" s="355" t="s">
        <v>660</v>
      </c>
      <c r="T16" s="357">
        <f>T6-T11</f>
        <v>0</v>
      </c>
      <c r="U16" s="1057"/>
      <c r="V16" s="1058"/>
    </row>
    <row r="17" spans="1:22" s="333" customFormat="1" ht="14.25" x14ac:dyDescent="0.2">
      <c r="A17" s="423" t="s">
        <v>6</v>
      </c>
      <c r="B17" s="421" t="s">
        <v>7</v>
      </c>
      <c r="C17" s="422" t="s">
        <v>8</v>
      </c>
      <c r="D17" s="423" t="s">
        <v>9</v>
      </c>
      <c r="E17" s="421" t="s">
        <v>10</v>
      </c>
      <c r="F17" s="424" t="s">
        <v>467</v>
      </c>
      <c r="G17" s="423" t="s">
        <v>466</v>
      </c>
      <c r="H17" s="421" t="s">
        <v>465</v>
      </c>
      <c r="I17" s="424" t="s">
        <v>464</v>
      </c>
      <c r="J17" s="420" t="s">
        <v>463</v>
      </c>
      <c r="K17" s="421" t="s">
        <v>468</v>
      </c>
      <c r="L17" s="424" t="s">
        <v>469</v>
      </c>
      <c r="S17" s="355" t="s">
        <v>821</v>
      </c>
      <c r="T17" s="358">
        <f>T7-T13</f>
        <v>0</v>
      </c>
      <c r="U17" s="1059"/>
      <c r="V17" s="1060"/>
    </row>
    <row r="18" spans="1:22" ht="31.9" customHeight="1" x14ac:dyDescent="0.2">
      <c r="A18" s="475" t="s">
        <v>29</v>
      </c>
      <c r="B18" s="504" t="s">
        <v>6</v>
      </c>
      <c r="C18" s="591" t="s">
        <v>488</v>
      </c>
      <c r="D18" s="589" t="s">
        <v>462</v>
      </c>
      <c r="E18" s="582" t="s">
        <v>462</v>
      </c>
      <c r="F18" s="642" t="s">
        <v>462</v>
      </c>
      <c r="G18" s="589" t="s">
        <v>462</v>
      </c>
      <c r="H18" s="582" t="s">
        <v>462</v>
      </c>
      <c r="I18" s="642" t="s">
        <v>462</v>
      </c>
      <c r="J18" s="587"/>
      <c r="K18" s="582"/>
      <c r="L18" s="642"/>
    </row>
    <row r="19" spans="1:22" ht="27.75" customHeight="1" x14ac:dyDescent="0.2">
      <c r="A19" s="452" t="s">
        <v>29</v>
      </c>
      <c r="B19" s="450" t="s">
        <v>156</v>
      </c>
      <c r="C19" s="488" t="s">
        <v>489</v>
      </c>
      <c r="D19" s="465"/>
      <c r="E19" s="464"/>
      <c r="F19" s="466"/>
      <c r="G19" s="465"/>
      <c r="H19" s="464"/>
      <c r="I19" s="466"/>
      <c r="J19" s="605">
        <f>Титульный!E3-Доходы!J20-J18</f>
        <v>0</v>
      </c>
      <c r="K19" s="580">
        <f>Титульный!F3-Доходы!K20-K18</f>
        <v>0</v>
      </c>
      <c r="L19" s="581">
        <f>Титульный!G3-Доходы!L20-L18</f>
        <v>0</v>
      </c>
      <c r="M19" s="331" t="s">
        <v>490</v>
      </c>
    </row>
    <row r="20" spans="1:22" ht="27.75" customHeight="1" x14ac:dyDescent="0.2">
      <c r="A20" s="493" t="s">
        <v>29</v>
      </c>
      <c r="B20" s="502" t="s">
        <v>158</v>
      </c>
      <c r="C20" s="482" t="s">
        <v>491</v>
      </c>
      <c r="D20" s="590"/>
      <c r="E20" s="585"/>
      <c r="F20" s="643"/>
      <c r="G20" s="590"/>
      <c r="H20" s="585"/>
      <c r="I20" s="643"/>
      <c r="J20" s="736">
        <v>0</v>
      </c>
      <c r="K20" s="737">
        <v>0</v>
      </c>
      <c r="L20" s="738">
        <v>0</v>
      </c>
    </row>
    <row r="21" spans="1:22" ht="27.75" customHeight="1" x14ac:dyDescent="0.2">
      <c r="A21" s="457"/>
      <c r="B21" s="537"/>
      <c r="C21" s="595" t="s">
        <v>492</v>
      </c>
      <c r="D21" s="519" t="s">
        <v>462</v>
      </c>
      <c r="E21" s="520" t="s">
        <v>462</v>
      </c>
      <c r="F21" s="644" t="s">
        <v>462</v>
      </c>
      <c r="G21" s="519" t="s">
        <v>462</v>
      </c>
      <c r="H21" s="520" t="s">
        <v>462</v>
      </c>
      <c r="I21" s="644" t="s">
        <v>462</v>
      </c>
      <c r="J21" s="645">
        <f>J18+J19+J20</f>
        <v>0</v>
      </c>
      <c r="K21" s="734">
        <f t="shared" ref="K21:L21" si="0">K18+K19+K20</f>
        <v>0</v>
      </c>
      <c r="L21" s="734">
        <f t="shared" si="0"/>
        <v>0</v>
      </c>
    </row>
    <row r="22" spans="1:22" ht="12" customHeight="1" x14ac:dyDescent="0.2">
      <c r="A22" s="353"/>
      <c r="B22" s="353"/>
    </row>
    <row r="23" spans="1:22" s="426" customFormat="1" ht="12" customHeight="1" x14ac:dyDescent="0.2">
      <c r="A23" s="353"/>
      <c r="B23" s="353"/>
    </row>
    <row r="24" spans="1:22" s="426" customFormat="1" ht="12" customHeight="1" x14ac:dyDescent="0.2">
      <c r="A24" s="353"/>
      <c r="B24" s="353"/>
    </row>
    <row r="25" spans="1:22" ht="27.75" customHeight="1" x14ac:dyDescent="0.2">
      <c r="A25" s="989" t="s">
        <v>493</v>
      </c>
      <c r="B25" s="989"/>
      <c r="C25" s="989"/>
      <c r="D25" s="989"/>
      <c r="E25" s="989"/>
      <c r="F25" s="989"/>
      <c r="G25" s="989"/>
      <c r="H25" s="989"/>
      <c r="I25" s="989"/>
      <c r="J25" s="989"/>
      <c r="K25" s="989"/>
      <c r="L25" s="989"/>
    </row>
    <row r="26" spans="1:22" ht="12" customHeight="1" x14ac:dyDescent="0.2"/>
    <row r="27" spans="1:22" ht="33" customHeight="1" x14ac:dyDescent="0.2">
      <c r="A27" s="1034" t="s">
        <v>483</v>
      </c>
      <c r="B27" s="1000" t="s">
        <v>484</v>
      </c>
      <c r="C27" s="1064" t="s">
        <v>0</v>
      </c>
      <c r="D27" s="1010" t="s">
        <v>487</v>
      </c>
      <c r="E27" s="1011"/>
      <c r="F27" s="1011"/>
      <c r="G27" s="1011"/>
      <c r="H27" s="1011"/>
      <c r="I27" s="1011"/>
      <c r="J27" s="1011"/>
      <c r="K27" s="1011"/>
      <c r="L27" s="1012"/>
    </row>
    <row r="28" spans="1:22" ht="34.5" customHeight="1" x14ac:dyDescent="0.2">
      <c r="A28" s="1035"/>
      <c r="B28" s="1036"/>
      <c r="C28" s="1066"/>
      <c r="D28" s="1051" t="s">
        <v>830</v>
      </c>
      <c r="E28" s="1014"/>
      <c r="F28" s="1014"/>
      <c r="G28" s="1015" t="s">
        <v>824</v>
      </c>
      <c r="H28" s="1015"/>
      <c r="I28" s="1015"/>
      <c r="J28" s="1015" t="s">
        <v>822</v>
      </c>
      <c r="K28" s="1015"/>
      <c r="L28" s="1016"/>
    </row>
    <row r="29" spans="1:22" x14ac:dyDescent="0.2">
      <c r="A29" s="430" t="s">
        <v>6</v>
      </c>
      <c r="B29" s="427" t="s">
        <v>7</v>
      </c>
      <c r="C29" s="428" t="s">
        <v>8</v>
      </c>
      <c r="D29" s="1052">
        <v>4</v>
      </c>
      <c r="E29" s="1004"/>
      <c r="F29" s="1004"/>
      <c r="G29" s="1004">
        <v>5</v>
      </c>
      <c r="H29" s="1004"/>
      <c r="I29" s="1004"/>
      <c r="J29" s="1004">
        <v>6</v>
      </c>
      <c r="K29" s="1004"/>
      <c r="L29" s="1005"/>
    </row>
    <row r="30" spans="1:22" ht="31.5" x14ac:dyDescent="0.2">
      <c r="A30" s="486" t="s">
        <v>34</v>
      </c>
      <c r="B30" s="491" t="s">
        <v>6</v>
      </c>
      <c r="C30" s="550" t="s">
        <v>494</v>
      </c>
      <c r="D30" s="1072">
        <f>Титульный!E54</f>
        <v>80100160</v>
      </c>
      <c r="E30" s="1069"/>
      <c r="F30" s="1069"/>
      <c r="G30" s="1069">
        <f>Титульный!F54</f>
        <v>80567859</v>
      </c>
      <c r="H30" s="1069"/>
      <c r="I30" s="1069"/>
      <c r="J30" s="1069">
        <f>Титульный!G54</f>
        <v>81967038</v>
      </c>
      <c r="K30" s="1069"/>
      <c r="L30" s="1071"/>
      <c r="M30" s="331" t="s">
        <v>309</v>
      </c>
    </row>
    <row r="31" spans="1:22" ht="31.5" x14ac:dyDescent="0.2">
      <c r="A31" s="452" t="s">
        <v>34</v>
      </c>
      <c r="B31" s="450" t="s">
        <v>7</v>
      </c>
      <c r="C31" s="528" t="s">
        <v>495</v>
      </c>
      <c r="D31" s="1073">
        <f>J47</f>
        <v>0</v>
      </c>
      <c r="E31" s="1002"/>
      <c r="F31" s="1002"/>
      <c r="G31" s="1002">
        <f>K47</f>
        <v>0</v>
      </c>
      <c r="H31" s="1002"/>
      <c r="I31" s="1002"/>
      <c r="J31" s="1002">
        <f>L47</f>
        <v>0</v>
      </c>
      <c r="K31" s="1002"/>
      <c r="L31" s="1003"/>
      <c r="M31" s="334"/>
    </row>
    <row r="32" spans="1:22" ht="31.5" x14ac:dyDescent="0.2">
      <c r="A32" s="452" t="s">
        <v>34</v>
      </c>
      <c r="B32" s="450" t="s">
        <v>8</v>
      </c>
      <c r="C32" s="528" t="s">
        <v>496</v>
      </c>
      <c r="D32" s="1073">
        <f>J62</f>
        <v>593000</v>
      </c>
      <c r="E32" s="1002"/>
      <c r="F32" s="1002"/>
      <c r="G32" s="1002">
        <f>K62</f>
        <v>593000</v>
      </c>
      <c r="H32" s="1002"/>
      <c r="I32" s="1002"/>
      <c r="J32" s="1002">
        <f>L62</f>
        <v>593000</v>
      </c>
      <c r="K32" s="1002"/>
      <c r="L32" s="1003"/>
      <c r="M32" s="331" t="s">
        <v>497</v>
      </c>
    </row>
    <row r="33" spans="1:18" ht="47.25" x14ac:dyDescent="0.2">
      <c r="A33" s="456">
        <v>130</v>
      </c>
      <c r="B33" s="454">
        <v>4</v>
      </c>
      <c r="C33" s="530" t="s">
        <v>498</v>
      </c>
      <c r="D33" s="1074">
        <f>Титульный!E5</f>
        <v>157000</v>
      </c>
      <c r="E33" s="1070"/>
      <c r="F33" s="1070"/>
      <c r="G33" s="1070">
        <f>Титульный!F5</f>
        <v>157000</v>
      </c>
      <c r="H33" s="1070"/>
      <c r="I33" s="1070"/>
      <c r="J33" s="1070">
        <f>Титульный!G5</f>
        <v>157000</v>
      </c>
      <c r="K33" s="1070"/>
      <c r="L33" s="1075"/>
      <c r="M33" s="335" t="s">
        <v>330</v>
      </c>
    </row>
    <row r="34" spans="1:18" ht="27.75" customHeight="1" x14ac:dyDescent="0.2">
      <c r="A34" s="611"/>
      <c r="B34" s="612"/>
      <c r="C34" s="446" t="s">
        <v>492</v>
      </c>
      <c r="D34" s="1021">
        <f>D30+D31+D32+D33</f>
        <v>80850160</v>
      </c>
      <c r="E34" s="1008"/>
      <c r="F34" s="1008"/>
      <c r="G34" s="1008">
        <f>G30+G31+G32+G33</f>
        <v>81317859</v>
      </c>
      <c r="H34" s="1008"/>
      <c r="I34" s="1008"/>
      <c r="J34" s="1008">
        <f>J30+J31+J32+J33</f>
        <v>82717038</v>
      </c>
      <c r="K34" s="1008"/>
      <c r="L34" s="1009"/>
    </row>
    <row r="35" spans="1:18" ht="12" customHeight="1" x14ac:dyDescent="0.2"/>
    <row r="36" spans="1:18" s="426" customFormat="1" ht="12" customHeight="1" x14ac:dyDescent="0.2"/>
    <row r="37" spans="1:18" s="426" customFormat="1" ht="12" customHeight="1" x14ac:dyDescent="0.2"/>
    <row r="38" spans="1:18" ht="27.75" customHeight="1" x14ac:dyDescent="0.2">
      <c r="A38" s="1020" t="s">
        <v>799</v>
      </c>
      <c r="B38" s="1020"/>
      <c r="C38" s="1020"/>
      <c r="D38" s="1020"/>
      <c r="E38" s="1020"/>
      <c r="F38" s="1020"/>
      <c r="G38" s="1020"/>
      <c r="H38" s="1020"/>
      <c r="I38" s="1020"/>
      <c r="J38" s="1020"/>
      <c r="K38" s="1020"/>
      <c r="L38" s="1020"/>
    </row>
    <row r="39" spans="1:18" ht="12" customHeight="1" x14ac:dyDescent="0.2"/>
    <row r="40" spans="1:18" ht="51.75" customHeight="1" x14ac:dyDescent="0.2">
      <c r="A40" s="1034" t="s">
        <v>483</v>
      </c>
      <c r="B40" s="1000" t="s">
        <v>484</v>
      </c>
      <c r="C40" s="1037" t="s">
        <v>499</v>
      </c>
      <c r="D40" s="1039" t="s">
        <v>500</v>
      </c>
      <c r="E40" s="1040"/>
      <c r="F40" s="1041"/>
      <c r="G40" s="1039" t="s">
        <v>501</v>
      </c>
      <c r="H40" s="1040"/>
      <c r="I40" s="1041"/>
      <c r="J40" s="1067" t="s">
        <v>487</v>
      </c>
      <c r="K40" s="1040"/>
      <c r="L40" s="1041"/>
      <c r="M40" s="331" t="s">
        <v>502</v>
      </c>
    </row>
    <row r="41" spans="1:18" ht="51" x14ac:dyDescent="0.2">
      <c r="A41" s="1035"/>
      <c r="B41" s="1036"/>
      <c r="C41" s="1038"/>
      <c r="D41" s="626" t="s">
        <v>830</v>
      </c>
      <c r="E41" s="386" t="s">
        <v>824</v>
      </c>
      <c r="F41" s="380" t="s">
        <v>822</v>
      </c>
      <c r="G41" s="626" t="s">
        <v>830</v>
      </c>
      <c r="H41" s="386" t="s">
        <v>824</v>
      </c>
      <c r="I41" s="380" t="s">
        <v>822</v>
      </c>
      <c r="J41" s="627" t="s">
        <v>830</v>
      </c>
      <c r="K41" s="386" t="s">
        <v>824</v>
      </c>
      <c r="L41" s="380" t="s">
        <v>822</v>
      </c>
    </row>
    <row r="42" spans="1:18" ht="15.75" x14ac:dyDescent="0.2">
      <c r="A42" s="621" t="s">
        <v>6</v>
      </c>
      <c r="B42" s="622" t="s">
        <v>7</v>
      </c>
      <c r="C42" s="623" t="s">
        <v>8</v>
      </c>
      <c r="D42" s="628" t="s">
        <v>9</v>
      </c>
      <c r="E42" s="629" t="s">
        <v>10</v>
      </c>
      <c r="F42" s="630" t="s">
        <v>467</v>
      </c>
      <c r="G42" s="628" t="s">
        <v>466</v>
      </c>
      <c r="H42" s="503" t="s">
        <v>465</v>
      </c>
      <c r="I42" s="631" t="s">
        <v>464</v>
      </c>
      <c r="J42" s="632" t="s">
        <v>463</v>
      </c>
      <c r="K42" s="503" t="s">
        <v>468</v>
      </c>
      <c r="L42" s="631" t="s">
        <v>469</v>
      </c>
      <c r="M42" s="1061" t="s">
        <v>669</v>
      </c>
      <c r="N42" s="1062"/>
      <c r="O42" s="1062"/>
      <c r="P42" s="1062"/>
      <c r="Q42" s="1062"/>
      <c r="R42" s="1062"/>
    </row>
    <row r="43" spans="1:18" s="334" customFormat="1" ht="27.75" customHeight="1" x14ac:dyDescent="0.2">
      <c r="A43" s="475">
        <v>130</v>
      </c>
      <c r="B43" s="504" t="s">
        <v>6</v>
      </c>
      <c r="C43" s="591" t="s">
        <v>503</v>
      </c>
      <c r="D43" s="646"/>
      <c r="E43" s="647"/>
      <c r="F43" s="648"/>
      <c r="G43" s="646"/>
      <c r="H43" s="647"/>
      <c r="I43" s="648"/>
      <c r="J43" s="649"/>
      <c r="K43" s="647"/>
      <c r="L43" s="648"/>
      <c r="M43" s="1061"/>
      <c r="N43" s="1062"/>
      <c r="O43" s="1062"/>
      <c r="P43" s="1062"/>
      <c r="Q43" s="1062"/>
      <c r="R43" s="1062"/>
    </row>
    <row r="44" spans="1:18" s="334" customFormat="1" ht="27.75" customHeight="1" x14ac:dyDescent="0.2">
      <c r="A44" s="452">
        <v>130</v>
      </c>
      <c r="B44" s="450" t="s">
        <v>7</v>
      </c>
      <c r="C44" s="592" t="s">
        <v>504</v>
      </c>
      <c r="D44" s="465"/>
      <c r="E44" s="464"/>
      <c r="F44" s="466"/>
      <c r="G44" s="465"/>
      <c r="H44" s="464"/>
      <c r="I44" s="466"/>
      <c r="J44" s="463"/>
      <c r="K44" s="464"/>
      <c r="L44" s="466"/>
      <c r="M44" s="1061"/>
      <c r="N44" s="1062"/>
      <c r="O44" s="1062"/>
      <c r="P44" s="1062"/>
      <c r="Q44" s="1062"/>
      <c r="R44" s="1062"/>
    </row>
    <row r="45" spans="1:18" s="334" customFormat="1" ht="27.75" customHeight="1" x14ac:dyDescent="0.2">
      <c r="A45" s="452">
        <v>130</v>
      </c>
      <c r="B45" s="450" t="s">
        <v>8</v>
      </c>
      <c r="C45" s="592" t="s">
        <v>505</v>
      </c>
      <c r="D45" s="465"/>
      <c r="E45" s="464"/>
      <c r="F45" s="466"/>
      <c r="G45" s="465"/>
      <c r="H45" s="464"/>
      <c r="I45" s="466"/>
      <c r="J45" s="463"/>
      <c r="K45" s="464"/>
      <c r="L45" s="466"/>
      <c r="M45" s="1061"/>
      <c r="N45" s="1062"/>
      <c r="O45" s="1062"/>
      <c r="P45" s="1062"/>
      <c r="Q45" s="1062"/>
      <c r="R45" s="1062"/>
    </row>
    <row r="46" spans="1:18" s="334" customFormat="1" ht="27.75" customHeight="1" x14ac:dyDescent="0.2">
      <c r="A46" s="493"/>
      <c r="B46" s="502"/>
      <c r="C46" s="482"/>
      <c r="D46" s="469"/>
      <c r="E46" s="468"/>
      <c r="F46" s="470"/>
      <c r="G46" s="469"/>
      <c r="H46" s="468"/>
      <c r="I46" s="470"/>
      <c r="J46" s="467"/>
      <c r="K46" s="468"/>
      <c r="L46" s="470"/>
      <c r="M46" s="1061"/>
      <c r="N46" s="1062"/>
      <c r="O46" s="1062"/>
      <c r="P46" s="1062"/>
      <c r="Q46" s="1062"/>
      <c r="R46" s="1062"/>
    </row>
    <row r="47" spans="1:18" s="334" customFormat="1" ht="27.75" customHeight="1" x14ac:dyDescent="0.2">
      <c r="A47" s="457"/>
      <c r="B47" s="518"/>
      <c r="C47" s="595" t="s">
        <v>492</v>
      </c>
      <c r="D47" s="512" t="s">
        <v>462</v>
      </c>
      <c r="E47" s="511" t="s">
        <v>462</v>
      </c>
      <c r="F47" s="667" t="s">
        <v>462</v>
      </c>
      <c r="G47" s="512" t="s">
        <v>462</v>
      </c>
      <c r="H47" s="511" t="s">
        <v>462</v>
      </c>
      <c r="I47" s="667" t="s">
        <v>462</v>
      </c>
      <c r="J47" s="668">
        <f>J43+J44+J45</f>
        <v>0</v>
      </c>
      <c r="K47" s="669">
        <f t="shared" ref="K47:L47" si="1">K43+K44+K45</f>
        <v>0</v>
      </c>
      <c r="L47" s="670">
        <f t="shared" si="1"/>
        <v>0</v>
      </c>
    </row>
    <row r="48" spans="1:18" ht="12" customHeight="1" x14ac:dyDescent="0.2">
      <c r="A48" s="336"/>
      <c r="B48" s="337"/>
      <c r="C48" s="336"/>
      <c r="D48" s="336"/>
      <c r="E48" s="336"/>
      <c r="F48" s="336"/>
      <c r="G48" s="336"/>
      <c r="H48" s="336"/>
      <c r="I48" s="336"/>
      <c r="J48" s="336"/>
      <c r="K48" s="336"/>
      <c r="L48" s="336"/>
    </row>
    <row r="49" spans="1:20" s="426" customFormat="1" ht="12" customHeight="1" x14ac:dyDescent="0.2">
      <c r="A49" s="336"/>
      <c r="B49" s="337"/>
      <c r="C49" s="336"/>
      <c r="D49" s="336"/>
      <c r="E49" s="336"/>
      <c r="F49" s="336"/>
      <c r="G49" s="336"/>
      <c r="H49" s="336"/>
      <c r="I49" s="336"/>
      <c r="J49" s="336"/>
      <c r="K49" s="336"/>
      <c r="L49" s="336"/>
    </row>
    <row r="50" spans="1:20" s="426" customFormat="1" ht="12" customHeight="1" x14ac:dyDescent="0.2">
      <c r="A50" s="336"/>
      <c r="B50" s="337"/>
      <c r="C50" s="336"/>
      <c r="D50" s="336"/>
      <c r="E50" s="336"/>
      <c r="F50" s="336"/>
      <c r="G50" s="336"/>
      <c r="H50" s="336"/>
      <c r="I50" s="336"/>
      <c r="J50" s="336"/>
      <c r="K50" s="336"/>
      <c r="L50" s="336"/>
    </row>
    <row r="51" spans="1:20" ht="27.75" customHeight="1" x14ac:dyDescent="0.2">
      <c r="A51" s="1020" t="s">
        <v>800</v>
      </c>
      <c r="B51" s="1020"/>
      <c r="C51" s="1020"/>
      <c r="D51" s="1020"/>
      <c r="E51" s="1020"/>
      <c r="F51" s="1020"/>
      <c r="G51" s="1020"/>
      <c r="H51" s="1020"/>
      <c r="I51" s="1020"/>
      <c r="J51" s="1020"/>
      <c r="K51" s="1020"/>
      <c r="L51" s="1020"/>
    </row>
    <row r="52" spans="1:20" ht="12" customHeight="1" x14ac:dyDescent="0.2"/>
    <row r="53" spans="1:20" s="426" customFormat="1" ht="51.75" customHeight="1" x14ac:dyDescent="0.2">
      <c r="A53" s="1034" t="s">
        <v>483</v>
      </c>
      <c r="B53" s="1000" t="s">
        <v>484</v>
      </c>
      <c r="C53" s="1037" t="s">
        <v>499</v>
      </c>
      <c r="D53" s="1034" t="s">
        <v>500</v>
      </c>
      <c r="E53" s="1000"/>
      <c r="F53" s="1001"/>
      <c r="G53" s="1034" t="s">
        <v>501</v>
      </c>
      <c r="H53" s="1000"/>
      <c r="I53" s="1001"/>
      <c r="J53" s="999" t="s">
        <v>487</v>
      </c>
      <c r="K53" s="1000"/>
      <c r="L53" s="1001"/>
    </row>
    <row r="54" spans="1:20" s="426" customFormat="1" ht="51" x14ac:dyDescent="0.2">
      <c r="A54" s="1035"/>
      <c r="B54" s="1036"/>
      <c r="C54" s="1038"/>
      <c r="D54" s="625" t="s">
        <v>830</v>
      </c>
      <c r="E54" s="434" t="s">
        <v>824</v>
      </c>
      <c r="F54" s="435" t="s">
        <v>822</v>
      </c>
      <c r="G54" s="625" t="s">
        <v>830</v>
      </c>
      <c r="H54" s="434" t="s">
        <v>824</v>
      </c>
      <c r="I54" s="435" t="s">
        <v>822</v>
      </c>
      <c r="J54" s="624" t="s">
        <v>830</v>
      </c>
      <c r="K54" s="434" t="s">
        <v>824</v>
      </c>
      <c r="L54" s="435" t="s">
        <v>822</v>
      </c>
    </row>
    <row r="55" spans="1:20" s="426" customFormat="1" ht="15.75" x14ac:dyDescent="0.2">
      <c r="A55" s="534" t="s">
        <v>6</v>
      </c>
      <c r="B55" s="503" t="s">
        <v>7</v>
      </c>
      <c r="C55" s="634" t="s">
        <v>8</v>
      </c>
      <c r="D55" s="628" t="s">
        <v>9</v>
      </c>
      <c r="E55" s="629" t="s">
        <v>10</v>
      </c>
      <c r="F55" s="630" t="s">
        <v>467</v>
      </c>
      <c r="G55" s="628" t="s">
        <v>466</v>
      </c>
      <c r="H55" s="503" t="s">
        <v>465</v>
      </c>
      <c r="I55" s="631" t="s">
        <v>464</v>
      </c>
      <c r="J55" s="632" t="s">
        <v>463</v>
      </c>
      <c r="K55" s="503" t="s">
        <v>468</v>
      </c>
      <c r="L55" s="631" t="s">
        <v>469</v>
      </c>
    </row>
    <row r="56" spans="1:20" ht="33.6" customHeight="1" x14ac:dyDescent="0.2">
      <c r="A56" s="486">
        <v>130</v>
      </c>
      <c r="B56" s="491" t="s">
        <v>6</v>
      </c>
      <c r="C56" s="492" t="s">
        <v>665</v>
      </c>
      <c r="D56" s="653"/>
      <c r="E56" s="647"/>
      <c r="F56" s="648"/>
      <c r="G56" s="646"/>
      <c r="H56" s="647"/>
      <c r="I56" s="648"/>
      <c r="J56" s="654">
        <f>Титульный!E4-SUM(J57:J61)</f>
        <v>-1007000</v>
      </c>
      <c r="K56" s="655">
        <f>Титульный!F4-SUM(K57:K61)</f>
        <v>-1007000</v>
      </c>
      <c r="L56" s="656">
        <f>Титульный!G4-SUM(L57:L61)</f>
        <v>-1007000</v>
      </c>
      <c r="M56" s="331" t="s">
        <v>506</v>
      </c>
      <c r="R56" s="1065"/>
      <c r="S56" s="1065"/>
      <c r="T56" s="1065"/>
    </row>
    <row r="57" spans="1:20" ht="33.6" customHeight="1" x14ac:dyDescent="0.2">
      <c r="A57" s="452">
        <v>130</v>
      </c>
      <c r="B57" s="450" t="s">
        <v>7</v>
      </c>
      <c r="C57" s="592" t="s">
        <v>667</v>
      </c>
      <c r="D57" s="657">
        <f>J57/G57</f>
        <v>8888.8888888888887</v>
      </c>
      <c r="E57" s="658">
        <f>K57/H57</f>
        <v>8888.8888888888887</v>
      </c>
      <c r="F57" s="659">
        <f>L57/I57</f>
        <v>8888.8888888888887</v>
      </c>
      <c r="G57" s="465">
        <v>180</v>
      </c>
      <c r="H57" s="464">
        <f>G57</f>
        <v>180</v>
      </c>
      <c r="I57" s="466">
        <f>G57</f>
        <v>180</v>
      </c>
      <c r="J57" s="605">
        <v>1600000</v>
      </c>
      <c r="K57" s="580">
        <v>1600000</v>
      </c>
      <c r="L57" s="581">
        <v>1600000</v>
      </c>
      <c r="R57" s="1065"/>
      <c r="S57" s="1065"/>
      <c r="T57" s="1065"/>
    </row>
    <row r="58" spans="1:20" ht="33.6" customHeight="1" x14ac:dyDescent="0.2">
      <c r="A58" s="452">
        <v>130</v>
      </c>
      <c r="B58" s="450" t="s">
        <v>8</v>
      </c>
      <c r="C58" s="592" t="s">
        <v>666</v>
      </c>
      <c r="D58" s="657"/>
      <c r="E58" s="660"/>
      <c r="F58" s="466"/>
      <c r="G58" s="465"/>
      <c r="H58" s="464"/>
      <c r="I58" s="466"/>
      <c r="J58" s="605"/>
      <c r="K58" s="580"/>
      <c r="L58" s="581"/>
      <c r="N58" s="338" t="s">
        <v>507</v>
      </c>
      <c r="R58" s="1065"/>
      <c r="S58" s="1065"/>
      <c r="T58" s="1065"/>
    </row>
    <row r="59" spans="1:20" ht="33.6" customHeight="1" x14ac:dyDescent="0.2">
      <c r="A59" s="452">
        <v>130</v>
      </c>
      <c r="B59" s="450">
        <v>4</v>
      </c>
      <c r="C59" s="592" t="s">
        <v>668</v>
      </c>
      <c r="D59" s="657"/>
      <c r="E59" s="660"/>
      <c r="F59" s="466"/>
      <c r="G59" s="465"/>
      <c r="H59" s="464"/>
      <c r="I59" s="466"/>
      <c r="J59" s="605"/>
      <c r="K59" s="580"/>
      <c r="L59" s="581"/>
      <c r="N59" s="338"/>
      <c r="R59" s="359"/>
      <c r="S59" s="359"/>
      <c r="T59" s="359"/>
    </row>
    <row r="60" spans="1:20" ht="27.75" customHeight="1" x14ac:dyDescent="0.2">
      <c r="A60" s="452"/>
      <c r="B60" s="450"/>
      <c r="C60" s="592"/>
      <c r="D60" s="661"/>
      <c r="E60" s="660"/>
      <c r="F60" s="466"/>
      <c r="G60" s="465"/>
      <c r="H60" s="464"/>
      <c r="I60" s="466"/>
      <c r="J60" s="605"/>
      <c r="K60" s="580"/>
      <c r="L60" s="581"/>
      <c r="N60" s="338"/>
      <c r="R60" s="359"/>
      <c r="S60" s="359"/>
      <c r="T60" s="359"/>
    </row>
    <row r="61" spans="1:20" ht="27.75" customHeight="1" x14ac:dyDescent="0.2">
      <c r="A61" s="456"/>
      <c r="B61" s="454"/>
      <c r="C61" s="614"/>
      <c r="D61" s="662"/>
      <c r="E61" s="663"/>
      <c r="F61" s="470"/>
      <c r="G61" s="469"/>
      <c r="H61" s="468"/>
      <c r="I61" s="470"/>
      <c r="J61" s="664"/>
      <c r="K61" s="665"/>
      <c r="L61" s="666"/>
    </row>
    <row r="62" spans="1:20" ht="27.75" customHeight="1" x14ac:dyDescent="0.2">
      <c r="A62" s="616"/>
      <c r="B62" s="509"/>
      <c r="C62" s="495" t="s">
        <v>492</v>
      </c>
      <c r="D62" s="512" t="s">
        <v>462</v>
      </c>
      <c r="E62" s="511" t="s">
        <v>462</v>
      </c>
      <c r="F62" s="667" t="s">
        <v>462</v>
      </c>
      <c r="G62" s="512" t="s">
        <v>462</v>
      </c>
      <c r="H62" s="511" t="s">
        <v>462</v>
      </c>
      <c r="I62" s="667" t="s">
        <v>462</v>
      </c>
      <c r="J62" s="668">
        <f>SUM(J56:J61)</f>
        <v>593000</v>
      </c>
      <c r="K62" s="669">
        <f t="shared" ref="K62:L62" si="2">SUM(K56:K61)</f>
        <v>593000</v>
      </c>
      <c r="L62" s="670">
        <f t="shared" si="2"/>
        <v>593000</v>
      </c>
    </row>
    <row r="63" spans="1:20" ht="12" customHeight="1" x14ac:dyDescent="0.2"/>
    <row r="64" spans="1:20" s="426" customFormat="1" ht="12" customHeight="1" x14ac:dyDescent="0.2"/>
    <row r="65" spans="1:13" s="426" customFormat="1" ht="12" customHeight="1" x14ac:dyDescent="0.2"/>
    <row r="66" spans="1:13" ht="27.75" customHeight="1" x14ac:dyDescent="0.2">
      <c r="A66" s="989" t="s">
        <v>508</v>
      </c>
      <c r="B66" s="989"/>
      <c r="C66" s="989"/>
      <c r="D66" s="989"/>
      <c r="E66" s="989"/>
      <c r="F66" s="989"/>
      <c r="G66" s="989"/>
      <c r="H66" s="989"/>
      <c r="I66" s="989"/>
      <c r="J66" s="989"/>
      <c r="K66" s="989"/>
      <c r="L66" s="989"/>
    </row>
    <row r="67" spans="1:13" ht="12" customHeight="1" x14ac:dyDescent="0.2"/>
    <row r="68" spans="1:13" s="426" customFormat="1" ht="33" customHeight="1" x14ac:dyDescent="0.2">
      <c r="A68" s="1034" t="s">
        <v>483</v>
      </c>
      <c r="B68" s="1000" t="s">
        <v>484</v>
      </c>
      <c r="C68" s="1064" t="s">
        <v>0</v>
      </c>
      <c r="D68" s="1045" t="s">
        <v>487</v>
      </c>
      <c r="E68" s="1046"/>
      <c r="F68" s="1046"/>
      <c r="G68" s="1046"/>
      <c r="H68" s="1046"/>
      <c r="I68" s="1046"/>
      <c r="J68" s="1046"/>
      <c r="K68" s="1046"/>
      <c r="L68" s="1047"/>
    </row>
    <row r="69" spans="1:13" s="426" customFormat="1" ht="34.5" customHeight="1" x14ac:dyDescent="0.2">
      <c r="A69" s="1035"/>
      <c r="B69" s="1036"/>
      <c r="C69" s="1066"/>
      <c r="D69" s="1031" t="s">
        <v>830</v>
      </c>
      <c r="E69" s="1032"/>
      <c r="F69" s="1033"/>
      <c r="G69" s="1029" t="s">
        <v>824</v>
      </c>
      <c r="H69" s="1024"/>
      <c r="I69" s="1025"/>
      <c r="J69" s="1023" t="s">
        <v>822</v>
      </c>
      <c r="K69" s="1024"/>
      <c r="L69" s="1025"/>
    </row>
    <row r="70" spans="1:13" x14ac:dyDescent="0.2">
      <c r="A70" s="423" t="s">
        <v>6</v>
      </c>
      <c r="B70" s="421" t="s">
        <v>7</v>
      </c>
      <c r="C70" s="422" t="s">
        <v>8</v>
      </c>
      <c r="D70" s="1030" t="s">
        <v>9</v>
      </c>
      <c r="E70" s="1027"/>
      <c r="F70" s="1028"/>
      <c r="G70" s="1030" t="s">
        <v>10</v>
      </c>
      <c r="H70" s="1027"/>
      <c r="I70" s="1028"/>
      <c r="J70" s="1026" t="s">
        <v>467</v>
      </c>
      <c r="K70" s="1027"/>
      <c r="L70" s="1028"/>
    </row>
    <row r="71" spans="1:13" ht="45" customHeight="1" x14ac:dyDescent="0.2">
      <c r="A71" s="475" t="s">
        <v>38</v>
      </c>
      <c r="B71" s="504" t="s">
        <v>6</v>
      </c>
      <c r="C71" s="591" t="s">
        <v>509</v>
      </c>
      <c r="D71" s="990">
        <f>Титульный!E6-Доходы!D72</f>
        <v>0</v>
      </c>
      <c r="E71" s="991"/>
      <c r="F71" s="996"/>
      <c r="G71" s="990">
        <f>Титульный!F6-Доходы!G72</f>
        <v>0</v>
      </c>
      <c r="H71" s="991"/>
      <c r="I71" s="996"/>
      <c r="J71" s="1048">
        <f>Титульный!G6-Доходы!J72</f>
        <v>0</v>
      </c>
      <c r="K71" s="1049"/>
      <c r="L71" s="1050"/>
      <c r="M71" s="335" t="s">
        <v>510</v>
      </c>
    </row>
    <row r="72" spans="1:13" ht="27.75" customHeight="1" x14ac:dyDescent="0.2">
      <c r="A72" s="493" t="s">
        <v>38</v>
      </c>
      <c r="B72" s="502" t="s">
        <v>7</v>
      </c>
      <c r="C72" s="593" t="s">
        <v>511</v>
      </c>
      <c r="D72" s="1018"/>
      <c r="E72" s="1006"/>
      <c r="F72" s="1007"/>
      <c r="G72" s="1018"/>
      <c r="H72" s="1006"/>
      <c r="I72" s="1007"/>
      <c r="J72" s="1053"/>
      <c r="K72" s="1006"/>
      <c r="L72" s="1007"/>
      <c r="M72" s="331" t="s">
        <v>337</v>
      </c>
    </row>
    <row r="73" spans="1:13" ht="27.75" customHeight="1" x14ac:dyDescent="0.2">
      <c r="A73" s="457"/>
      <c r="B73" s="537"/>
      <c r="C73" s="595" t="s">
        <v>492</v>
      </c>
      <c r="D73" s="1042">
        <f>D71+D72</f>
        <v>0</v>
      </c>
      <c r="E73" s="1043"/>
      <c r="F73" s="1044"/>
      <c r="G73" s="1042">
        <f>G71+G72</f>
        <v>0</v>
      </c>
      <c r="H73" s="1043"/>
      <c r="I73" s="1044"/>
      <c r="J73" s="1054">
        <f>J71+J72</f>
        <v>0</v>
      </c>
      <c r="K73" s="1043"/>
      <c r="L73" s="1044"/>
    </row>
    <row r="74" spans="1:13" ht="12" customHeight="1" x14ac:dyDescent="0.2"/>
    <row r="75" spans="1:13" s="426" customFormat="1" ht="12" customHeight="1" x14ac:dyDescent="0.2"/>
    <row r="76" spans="1:13" s="426" customFormat="1" ht="12" customHeight="1" x14ac:dyDescent="0.2"/>
    <row r="77" spans="1:13" ht="27.75" customHeight="1" x14ac:dyDescent="0.2">
      <c r="A77" s="989" t="s">
        <v>512</v>
      </c>
      <c r="B77" s="989"/>
      <c r="C77" s="989"/>
      <c r="D77" s="989"/>
      <c r="E77" s="989"/>
      <c r="F77" s="989"/>
      <c r="G77" s="989"/>
      <c r="H77" s="989"/>
      <c r="I77" s="989"/>
      <c r="J77" s="989"/>
      <c r="K77" s="989"/>
      <c r="L77" s="989"/>
    </row>
    <row r="78" spans="1:13" ht="12" customHeight="1" x14ac:dyDescent="0.2"/>
    <row r="79" spans="1:13" s="426" customFormat="1" ht="33" customHeight="1" x14ac:dyDescent="0.2">
      <c r="A79" s="1034" t="s">
        <v>483</v>
      </c>
      <c r="B79" s="1000" t="s">
        <v>484</v>
      </c>
      <c r="C79" s="1064" t="s">
        <v>0</v>
      </c>
      <c r="D79" s="1010" t="s">
        <v>487</v>
      </c>
      <c r="E79" s="1011"/>
      <c r="F79" s="1011"/>
      <c r="G79" s="1011"/>
      <c r="H79" s="1011"/>
      <c r="I79" s="1011"/>
      <c r="J79" s="1011"/>
      <c r="K79" s="1011"/>
      <c r="L79" s="1012"/>
    </row>
    <row r="80" spans="1:13" s="426" customFormat="1" ht="34.5" customHeight="1" x14ac:dyDescent="0.2">
      <c r="A80" s="1035"/>
      <c r="B80" s="1036"/>
      <c r="C80" s="1066"/>
      <c r="D80" s="1051" t="s">
        <v>830</v>
      </c>
      <c r="E80" s="1014"/>
      <c r="F80" s="1014"/>
      <c r="G80" s="1015" t="s">
        <v>824</v>
      </c>
      <c r="H80" s="1015"/>
      <c r="I80" s="1015"/>
      <c r="J80" s="1015" t="s">
        <v>822</v>
      </c>
      <c r="K80" s="1015"/>
      <c r="L80" s="1016"/>
    </row>
    <row r="81" spans="1:17" s="426" customFormat="1" x14ac:dyDescent="0.2">
      <c r="A81" s="430" t="s">
        <v>6</v>
      </c>
      <c r="B81" s="427" t="s">
        <v>7</v>
      </c>
      <c r="C81" s="428" t="s">
        <v>8</v>
      </c>
      <c r="D81" s="1052">
        <v>4</v>
      </c>
      <c r="E81" s="1004"/>
      <c r="F81" s="1004"/>
      <c r="G81" s="1004">
        <v>5</v>
      </c>
      <c r="H81" s="1004"/>
      <c r="I81" s="1004"/>
      <c r="J81" s="1004">
        <v>6</v>
      </c>
      <c r="K81" s="1004"/>
      <c r="L81" s="1005"/>
      <c r="Q81" s="1063"/>
    </row>
    <row r="82" spans="1:17" ht="27.75" customHeight="1" x14ac:dyDescent="0.2">
      <c r="A82" s="475" t="s">
        <v>42</v>
      </c>
      <c r="B82" s="504" t="s">
        <v>6</v>
      </c>
      <c r="C82" s="635" t="s">
        <v>513</v>
      </c>
      <c r="D82" s="990">
        <f>Титульный!E8</f>
        <v>0</v>
      </c>
      <c r="E82" s="991"/>
      <c r="F82" s="991"/>
      <c r="G82" s="991">
        <f>Титульный!F8</f>
        <v>0</v>
      </c>
      <c r="H82" s="991"/>
      <c r="I82" s="991"/>
      <c r="J82" s="991">
        <f>Титульный!G8</f>
        <v>0</v>
      </c>
      <c r="K82" s="991"/>
      <c r="L82" s="996"/>
      <c r="M82" s="331" t="s">
        <v>514</v>
      </c>
      <c r="Q82" s="1063"/>
    </row>
    <row r="83" spans="1:17" ht="27.75" customHeight="1" x14ac:dyDescent="0.2">
      <c r="A83" s="452"/>
      <c r="B83" s="450"/>
      <c r="C83" s="636" t="s">
        <v>30</v>
      </c>
      <c r="D83" s="1022" t="s">
        <v>462</v>
      </c>
      <c r="E83" s="1002"/>
      <c r="F83" s="1002"/>
      <c r="G83" s="1002" t="s">
        <v>462</v>
      </c>
      <c r="H83" s="1002"/>
      <c r="I83" s="1002"/>
      <c r="J83" s="1002" t="s">
        <v>462</v>
      </c>
      <c r="K83" s="1002"/>
      <c r="L83" s="1003"/>
      <c r="Q83" s="1063"/>
    </row>
    <row r="84" spans="1:17" ht="27.75" customHeight="1" x14ac:dyDescent="0.2">
      <c r="A84" s="452" t="s">
        <v>42</v>
      </c>
      <c r="B84" s="450" t="s">
        <v>156</v>
      </c>
      <c r="C84" s="636" t="s">
        <v>515</v>
      </c>
      <c r="D84" s="1022"/>
      <c r="E84" s="1002"/>
      <c r="F84" s="1002"/>
      <c r="G84" s="1002"/>
      <c r="H84" s="1002"/>
      <c r="I84" s="1002"/>
      <c r="J84" s="1002"/>
      <c r="K84" s="1002"/>
      <c r="L84" s="1003"/>
      <c r="Q84" s="1063"/>
    </row>
    <row r="85" spans="1:17" ht="27.75" customHeight="1" x14ac:dyDescent="0.2">
      <c r="A85" s="452"/>
      <c r="B85" s="450"/>
      <c r="C85" s="636"/>
      <c r="D85" s="1022"/>
      <c r="E85" s="1002"/>
      <c r="F85" s="1002"/>
      <c r="G85" s="1002"/>
      <c r="H85" s="1002"/>
      <c r="I85" s="1002"/>
      <c r="J85" s="1002"/>
      <c r="K85" s="1002"/>
      <c r="L85" s="1003"/>
      <c r="Q85" s="1063"/>
    </row>
    <row r="86" spans="1:17" ht="27.75" customHeight="1" x14ac:dyDescent="0.2">
      <c r="A86" s="452" t="s">
        <v>42</v>
      </c>
      <c r="B86" s="450">
        <v>2</v>
      </c>
      <c r="C86" s="528" t="s">
        <v>516</v>
      </c>
      <c r="D86" s="1022">
        <f>Титульный!E8</f>
        <v>0</v>
      </c>
      <c r="E86" s="1002"/>
      <c r="F86" s="1002"/>
      <c r="G86" s="1002">
        <f>Титульный!F8</f>
        <v>0</v>
      </c>
      <c r="H86" s="1002"/>
      <c r="I86" s="1002"/>
      <c r="J86" s="1002">
        <f>Титульный!G8</f>
        <v>0</v>
      </c>
      <c r="K86" s="1002"/>
      <c r="L86" s="1003"/>
      <c r="Q86" s="1063"/>
    </row>
    <row r="87" spans="1:17" ht="27.75" customHeight="1" x14ac:dyDescent="0.2">
      <c r="A87" s="452"/>
      <c r="B87" s="450"/>
      <c r="C87" s="636"/>
      <c r="D87" s="1022"/>
      <c r="E87" s="1002"/>
      <c r="F87" s="1002"/>
      <c r="G87" s="1002"/>
      <c r="H87" s="1002"/>
      <c r="I87" s="1002"/>
      <c r="J87" s="1002"/>
      <c r="K87" s="1002"/>
      <c r="L87" s="1003"/>
      <c r="Q87" s="1063"/>
    </row>
    <row r="88" spans="1:17" ht="27.75" customHeight="1" x14ac:dyDescent="0.2">
      <c r="A88" s="452" t="s">
        <v>42</v>
      </c>
      <c r="B88" s="450">
        <v>3</v>
      </c>
      <c r="C88" s="636" t="s">
        <v>517</v>
      </c>
      <c r="D88" s="1022">
        <f>Титульный!E10-Доходы!D82</f>
        <v>0</v>
      </c>
      <c r="E88" s="1002"/>
      <c r="F88" s="1002"/>
      <c r="G88" s="1002">
        <f>Титульный!F10-Доходы!G82</f>
        <v>0</v>
      </c>
      <c r="H88" s="1002"/>
      <c r="I88" s="1002"/>
      <c r="J88" s="1002">
        <f>Титульный!G10-Доходы!J82</f>
        <v>0</v>
      </c>
      <c r="K88" s="1002"/>
      <c r="L88" s="1003"/>
      <c r="M88" s="331" t="s">
        <v>518</v>
      </c>
      <c r="Q88" s="1063"/>
    </row>
    <row r="89" spans="1:17" ht="27.75" customHeight="1" x14ac:dyDescent="0.2">
      <c r="A89" s="452"/>
      <c r="B89" s="450"/>
      <c r="C89" s="636" t="s">
        <v>30</v>
      </c>
      <c r="D89" s="1022" t="s">
        <v>462</v>
      </c>
      <c r="E89" s="1002"/>
      <c r="F89" s="1002"/>
      <c r="G89" s="1002" t="s">
        <v>462</v>
      </c>
      <c r="H89" s="1002"/>
      <c r="I89" s="1002"/>
      <c r="J89" s="1002" t="s">
        <v>462</v>
      </c>
      <c r="K89" s="1002"/>
      <c r="L89" s="1003"/>
      <c r="Q89" s="1063"/>
    </row>
    <row r="90" spans="1:17" ht="27.75" customHeight="1" x14ac:dyDescent="0.2">
      <c r="A90" s="452" t="s">
        <v>42</v>
      </c>
      <c r="B90" s="450" t="s">
        <v>519</v>
      </c>
      <c r="C90" s="636" t="s">
        <v>515</v>
      </c>
      <c r="D90" s="1022"/>
      <c r="E90" s="1002"/>
      <c r="F90" s="1002"/>
      <c r="G90" s="1002"/>
      <c r="H90" s="1002"/>
      <c r="I90" s="1002"/>
      <c r="J90" s="1002"/>
      <c r="K90" s="1002"/>
      <c r="L90" s="1003"/>
      <c r="Q90" s="1063"/>
    </row>
    <row r="91" spans="1:17" ht="27.75" customHeight="1" x14ac:dyDescent="0.2">
      <c r="A91" s="452"/>
      <c r="B91" s="450"/>
      <c r="C91" s="636"/>
      <c r="D91" s="1022"/>
      <c r="E91" s="1002"/>
      <c r="F91" s="1002"/>
      <c r="G91" s="1002"/>
      <c r="H91" s="1002"/>
      <c r="I91" s="1002"/>
      <c r="J91" s="1002"/>
      <c r="K91" s="1002"/>
      <c r="L91" s="1003"/>
      <c r="Q91" s="1063"/>
    </row>
    <row r="92" spans="1:17" ht="31.9" customHeight="1" x14ac:dyDescent="0.2">
      <c r="A92" s="493" t="s">
        <v>42</v>
      </c>
      <c r="B92" s="502">
        <v>4</v>
      </c>
      <c r="C92" s="572" t="s">
        <v>520</v>
      </c>
      <c r="D92" s="1018">
        <f>Титульный!E9-Титульный!E10</f>
        <v>750000</v>
      </c>
      <c r="E92" s="1006"/>
      <c r="F92" s="1006"/>
      <c r="G92" s="1006">
        <f>Титульный!F9-Титульный!F10</f>
        <v>750000</v>
      </c>
      <c r="H92" s="1006"/>
      <c r="I92" s="1006"/>
      <c r="J92" s="1006">
        <f>Титульный!G9-Титульный!G10</f>
        <v>750000</v>
      </c>
      <c r="K92" s="1006"/>
      <c r="L92" s="1007"/>
      <c r="M92" s="331" t="s">
        <v>521</v>
      </c>
      <c r="Q92" s="1063"/>
    </row>
    <row r="93" spans="1:17" ht="27.75" customHeight="1" x14ac:dyDescent="0.2">
      <c r="A93" s="616"/>
      <c r="B93" s="613"/>
      <c r="C93" s="446" t="s">
        <v>492</v>
      </c>
      <c r="D93" s="1019">
        <f>D82+D86+D88+D92</f>
        <v>750000</v>
      </c>
      <c r="E93" s="1008"/>
      <c r="F93" s="1008"/>
      <c r="G93" s="1008">
        <f>G82+G86+G88+G92</f>
        <v>750000</v>
      </c>
      <c r="H93" s="1008"/>
      <c r="I93" s="1008"/>
      <c r="J93" s="1008">
        <f t="shared" ref="J93" si="3">J82+J86+J88+J92</f>
        <v>750000</v>
      </c>
      <c r="K93" s="1008"/>
      <c r="L93" s="1009"/>
    </row>
    <row r="94" spans="1:17" ht="12" customHeight="1" x14ac:dyDescent="0.2">
      <c r="A94" s="332"/>
    </row>
    <row r="95" spans="1:17" s="426" customFormat="1" ht="12" customHeight="1" x14ac:dyDescent="0.2">
      <c r="A95" s="332"/>
    </row>
    <row r="96" spans="1:17" s="426" customFormat="1" ht="12" customHeight="1" x14ac:dyDescent="0.2">
      <c r="A96" s="332"/>
    </row>
    <row r="97" spans="1:13" ht="27.75" customHeight="1" x14ac:dyDescent="0.2">
      <c r="A97" s="989" t="s">
        <v>522</v>
      </c>
      <c r="B97" s="989"/>
      <c r="C97" s="989"/>
      <c r="D97" s="989"/>
      <c r="E97" s="989"/>
      <c r="F97" s="989"/>
      <c r="G97" s="989"/>
      <c r="H97" s="989"/>
      <c r="I97" s="989"/>
      <c r="J97" s="989"/>
      <c r="K97" s="989"/>
      <c r="L97" s="989"/>
    </row>
    <row r="98" spans="1:13" ht="12" customHeight="1" x14ac:dyDescent="0.2"/>
    <row r="99" spans="1:13" s="426" customFormat="1" ht="33" customHeight="1" x14ac:dyDescent="0.2">
      <c r="A99" s="1034" t="s">
        <v>483</v>
      </c>
      <c r="B99" s="1000" t="s">
        <v>484</v>
      </c>
      <c r="C99" s="1064" t="s">
        <v>0</v>
      </c>
      <c r="D99" s="1010" t="s">
        <v>487</v>
      </c>
      <c r="E99" s="1011"/>
      <c r="F99" s="1011"/>
      <c r="G99" s="1011"/>
      <c r="H99" s="1011"/>
      <c r="I99" s="1011"/>
      <c r="J99" s="1011"/>
      <c r="K99" s="1011"/>
      <c r="L99" s="1012"/>
    </row>
    <row r="100" spans="1:13" s="426" customFormat="1" ht="34.5" customHeight="1" x14ac:dyDescent="0.2">
      <c r="A100" s="1035"/>
      <c r="B100" s="1036"/>
      <c r="C100" s="1038"/>
      <c r="D100" s="1013" t="s">
        <v>830</v>
      </c>
      <c r="E100" s="1014"/>
      <c r="F100" s="1014"/>
      <c r="G100" s="1015" t="s">
        <v>824</v>
      </c>
      <c r="H100" s="1015"/>
      <c r="I100" s="1015"/>
      <c r="J100" s="1015" t="s">
        <v>822</v>
      </c>
      <c r="K100" s="1015"/>
      <c r="L100" s="1016"/>
    </row>
    <row r="101" spans="1:13" s="426" customFormat="1" x14ac:dyDescent="0.2">
      <c r="A101" s="430" t="s">
        <v>6</v>
      </c>
      <c r="B101" s="427" t="s">
        <v>7</v>
      </c>
      <c r="C101" s="432" t="s">
        <v>8</v>
      </c>
      <c r="D101" s="1017">
        <v>4</v>
      </c>
      <c r="E101" s="1004"/>
      <c r="F101" s="1004"/>
      <c r="G101" s="1004">
        <v>5</v>
      </c>
      <c r="H101" s="1004"/>
      <c r="I101" s="1004"/>
      <c r="J101" s="1004">
        <v>6</v>
      </c>
      <c r="K101" s="1004"/>
      <c r="L101" s="1005"/>
    </row>
    <row r="102" spans="1:13" ht="27.75" customHeight="1" x14ac:dyDescent="0.2">
      <c r="A102" s="637">
        <v>150</v>
      </c>
      <c r="B102" s="504" t="s">
        <v>6</v>
      </c>
      <c r="C102" s="598" t="s">
        <v>523</v>
      </c>
      <c r="D102" s="990">
        <f>Титульный!E128</f>
        <v>6686498</v>
      </c>
      <c r="E102" s="991"/>
      <c r="F102" s="991"/>
      <c r="G102" s="991">
        <f>Титульный!F128</f>
        <v>6761498</v>
      </c>
      <c r="H102" s="991"/>
      <c r="I102" s="991"/>
      <c r="J102" s="991">
        <f>Титульный!G128</f>
        <v>6761498</v>
      </c>
      <c r="K102" s="991"/>
      <c r="L102" s="996"/>
      <c r="M102" s="331" t="s">
        <v>656</v>
      </c>
    </row>
    <row r="103" spans="1:13" ht="27.75" customHeight="1" x14ac:dyDescent="0.2">
      <c r="A103" s="618">
        <v>150</v>
      </c>
      <c r="B103" s="450" t="s">
        <v>7</v>
      </c>
      <c r="C103" s="488" t="s">
        <v>524</v>
      </c>
      <c r="D103" s="992"/>
      <c r="E103" s="993"/>
      <c r="F103" s="993"/>
      <c r="G103" s="993"/>
      <c r="H103" s="993"/>
      <c r="I103" s="993"/>
      <c r="J103" s="993"/>
      <c r="K103" s="993"/>
      <c r="L103" s="997"/>
    </row>
    <row r="104" spans="1:13" ht="27.75" customHeight="1" x14ac:dyDescent="0.2">
      <c r="A104" s="481"/>
      <c r="B104" s="483"/>
      <c r="C104" s="638" t="s">
        <v>492</v>
      </c>
      <c r="D104" s="994">
        <f>SUM(D102:D103)</f>
        <v>6686498</v>
      </c>
      <c r="E104" s="995"/>
      <c r="F104" s="995"/>
      <c r="G104" s="995">
        <f>SUM(G102:G103)</f>
        <v>6761498</v>
      </c>
      <c r="H104" s="995"/>
      <c r="I104" s="995"/>
      <c r="J104" s="995">
        <f>SUM(J102:J103)</f>
        <v>6761498</v>
      </c>
      <c r="K104" s="995"/>
      <c r="L104" s="998"/>
    </row>
    <row r="105" spans="1:13" ht="12" customHeight="1" x14ac:dyDescent="0.2"/>
    <row r="106" spans="1:13" s="426" customFormat="1" ht="12" customHeight="1" x14ac:dyDescent="0.2"/>
    <row r="107" spans="1:13" s="426" customFormat="1" ht="12" customHeight="1" x14ac:dyDescent="0.2"/>
    <row r="108" spans="1:13" ht="27.75" customHeight="1" x14ac:dyDescent="0.2">
      <c r="A108" s="989" t="s">
        <v>525</v>
      </c>
      <c r="B108" s="989"/>
      <c r="C108" s="989"/>
      <c r="D108" s="989"/>
      <c r="E108" s="989"/>
      <c r="F108" s="989"/>
      <c r="G108" s="989"/>
      <c r="H108" s="989"/>
      <c r="I108" s="989"/>
      <c r="J108" s="989"/>
      <c r="K108" s="989"/>
      <c r="L108" s="989"/>
    </row>
    <row r="109" spans="1:13" ht="12" customHeight="1" x14ac:dyDescent="0.2"/>
    <row r="110" spans="1:13" s="426" customFormat="1" ht="51.75" customHeight="1" x14ac:dyDescent="0.2">
      <c r="A110" s="1034" t="s">
        <v>483</v>
      </c>
      <c r="B110" s="1000" t="s">
        <v>484</v>
      </c>
      <c r="C110" s="1037" t="s">
        <v>499</v>
      </c>
      <c r="D110" s="1034" t="s">
        <v>500</v>
      </c>
      <c r="E110" s="1000"/>
      <c r="F110" s="1001"/>
      <c r="G110" s="1034" t="s">
        <v>501</v>
      </c>
      <c r="H110" s="1000"/>
      <c r="I110" s="1001"/>
      <c r="J110" s="999" t="s">
        <v>487</v>
      </c>
      <c r="K110" s="1000"/>
      <c r="L110" s="1001"/>
    </row>
    <row r="111" spans="1:13" s="426" customFormat="1" ht="51" x14ac:dyDescent="0.2">
      <c r="A111" s="1035"/>
      <c r="B111" s="1036"/>
      <c r="C111" s="1038"/>
      <c r="D111" s="625" t="s">
        <v>830</v>
      </c>
      <c r="E111" s="434" t="s">
        <v>824</v>
      </c>
      <c r="F111" s="435" t="s">
        <v>822</v>
      </c>
      <c r="G111" s="625" t="s">
        <v>830</v>
      </c>
      <c r="H111" s="434" t="s">
        <v>824</v>
      </c>
      <c r="I111" s="435" t="s">
        <v>822</v>
      </c>
      <c r="J111" s="624" t="s">
        <v>830</v>
      </c>
      <c r="K111" s="434" t="s">
        <v>824</v>
      </c>
      <c r="L111" s="435" t="s">
        <v>822</v>
      </c>
    </row>
    <row r="112" spans="1:13" s="426" customFormat="1" ht="15.75" x14ac:dyDescent="0.2">
      <c r="A112" s="534" t="s">
        <v>6</v>
      </c>
      <c r="B112" s="503" t="s">
        <v>7</v>
      </c>
      <c r="C112" s="634" t="s">
        <v>8</v>
      </c>
      <c r="D112" s="628" t="s">
        <v>9</v>
      </c>
      <c r="E112" s="629" t="s">
        <v>10</v>
      </c>
      <c r="F112" s="630" t="s">
        <v>467</v>
      </c>
      <c r="G112" s="628" t="s">
        <v>466</v>
      </c>
      <c r="H112" s="503" t="s">
        <v>465</v>
      </c>
      <c r="I112" s="631" t="s">
        <v>464</v>
      </c>
      <c r="J112" s="632" t="s">
        <v>463</v>
      </c>
      <c r="K112" s="503" t="s">
        <v>468</v>
      </c>
      <c r="L112" s="631" t="s">
        <v>469</v>
      </c>
    </row>
    <row r="113" spans="1:13" s="353" customFormat="1" ht="27.75" customHeight="1" x14ac:dyDescent="0.2">
      <c r="A113" s="475" t="s">
        <v>348</v>
      </c>
      <c r="B113" s="504">
        <v>1</v>
      </c>
      <c r="C113" s="591" t="s">
        <v>526</v>
      </c>
      <c r="D113" s="602"/>
      <c r="E113" s="583"/>
      <c r="F113" s="584"/>
      <c r="G113" s="602"/>
      <c r="H113" s="583"/>
      <c r="I113" s="584"/>
      <c r="J113" s="603"/>
      <c r="K113" s="583"/>
      <c r="L113" s="584"/>
    </row>
    <row r="114" spans="1:13" s="353" customFormat="1" ht="30.6" customHeight="1" x14ac:dyDescent="0.2">
      <c r="A114" s="452" t="s">
        <v>348</v>
      </c>
      <c r="B114" s="450">
        <v>2</v>
      </c>
      <c r="C114" s="592" t="s">
        <v>527</v>
      </c>
      <c r="D114" s="465" t="s">
        <v>462</v>
      </c>
      <c r="E114" s="464" t="s">
        <v>462</v>
      </c>
      <c r="F114" s="466" t="s">
        <v>462</v>
      </c>
      <c r="G114" s="465" t="s">
        <v>462</v>
      </c>
      <c r="H114" s="464" t="s">
        <v>462</v>
      </c>
      <c r="I114" s="466" t="s">
        <v>462</v>
      </c>
      <c r="J114" s="605"/>
      <c r="K114" s="580"/>
      <c r="L114" s="581"/>
      <c r="M114" s="639" t="s">
        <v>528</v>
      </c>
    </row>
    <row r="115" spans="1:13" s="353" customFormat="1" ht="31.9" customHeight="1" x14ac:dyDescent="0.2">
      <c r="A115" s="456" t="s">
        <v>348</v>
      </c>
      <c r="B115" s="454">
        <v>3</v>
      </c>
      <c r="C115" s="640" t="s">
        <v>529</v>
      </c>
      <c r="D115" s="469" t="s">
        <v>462</v>
      </c>
      <c r="E115" s="468" t="s">
        <v>462</v>
      </c>
      <c r="F115" s="470" t="s">
        <v>462</v>
      </c>
      <c r="G115" s="469" t="s">
        <v>462</v>
      </c>
      <c r="H115" s="468" t="s">
        <v>462</v>
      </c>
      <c r="I115" s="470" t="s">
        <v>462</v>
      </c>
      <c r="J115" s="664">
        <f>Титульный!E12-Доходы!J114-Доходы!J113</f>
        <v>0</v>
      </c>
      <c r="K115" s="665">
        <f>Титульный!F12-Доходы!K114-Доходы!K113</f>
        <v>0</v>
      </c>
      <c r="L115" s="666">
        <f>Титульный!G12-Доходы!L114-Доходы!L113</f>
        <v>0</v>
      </c>
      <c r="M115" s="639" t="s">
        <v>528</v>
      </c>
    </row>
    <row r="116" spans="1:13" s="353" customFormat="1" ht="27.75" customHeight="1" x14ac:dyDescent="0.2">
      <c r="A116" s="508"/>
      <c r="B116" s="641"/>
      <c r="C116" s="495" t="s">
        <v>492</v>
      </c>
      <c r="D116" s="512" t="s">
        <v>462</v>
      </c>
      <c r="E116" s="511" t="s">
        <v>462</v>
      </c>
      <c r="F116" s="667" t="s">
        <v>462</v>
      </c>
      <c r="G116" s="512" t="s">
        <v>462</v>
      </c>
      <c r="H116" s="511" t="s">
        <v>462</v>
      </c>
      <c r="I116" s="667" t="s">
        <v>462</v>
      </c>
      <c r="J116" s="668">
        <f>J113+J114+J115</f>
        <v>0</v>
      </c>
      <c r="K116" s="669">
        <f t="shared" ref="K116:L116" si="4">K113+K114+K115</f>
        <v>0</v>
      </c>
      <c r="L116" s="670">
        <f t="shared" si="4"/>
        <v>0</v>
      </c>
    </row>
    <row r="117" spans="1:13" ht="12" customHeight="1" x14ac:dyDescent="0.2"/>
    <row r="118" spans="1:13" s="426" customFormat="1" ht="12" customHeight="1" x14ac:dyDescent="0.2"/>
    <row r="119" spans="1:13" s="426" customFormat="1" ht="12" customHeight="1" x14ac:dyDescent="0.2"/>
    <row r="120" spans="1:13" ht="27.75" customHeight="1" x14ac:dyDescent="0.2">
      <c r="A120" s="989" t="s">
        <v>530</v>
      </c>
      <c r="B120" s="989"/>
      <c r="C120" s="989"/>
      <c r="D120" s="989"/>
      <c r="E120" s="989"/>
      <c r="F120" s="989"/>
      <c r="G120" s="989"/>
      <c r="H120" s="989"/>
      <c r="I120" s="989"/>
      <c r="J120" s="989"/>
      <c r="K120" s="989"/>
      <c r="L120" s="989"/>
    </row>
    <row r="121" spans="1:13" ht="12" customHeight="1" x14ac:dyDescent="0.2"/>
    <row r="122" spans="1:13" s="426" customFormat="1" ht="51.75" customHeight="1" x14ac:dyDescent="0.2">
      <c r="A122" s="1034" t="s">
        <v>483</v>
      </c>
      <c r="B122" s="1000" t="s">
        <v>484</v>
      </c>
      <c r="C122" s="1037" t="s">
        <v>499</v>
      </c>
      <c r="D122" s="1034" t="s">
        <v>500</v>
      </c>
      <c r="E122" s="1000"/>
      <c r="F122" s="1001"/>
      <c r="G122" s="1034" t="s">
        <v>501</v>
      </c>
      <c r="H122" s="1000"/>
      <c r="I122" s="1001"/>
      <c r="J122" s="1034" t="s">
        <v>487</v>
      </c>
      <c r="K122" s="1000"/>
      <c r="L122" s="1001"/>
    </row>
    <row r="123" spans="1:13" s="426" customFormat="1" ht="51" x14ac:dyDescent="0.2">
      <c r="A123" s="1035"/>
      <c r="B123" s="1036"/>
      <c r="C123" s="1038"/>
      <c r="D123" s="625" t="s">
        <v>830</v>
      </c>
      <c r="E123" s="434" t="s">
        <v>824</v>
      </c>
      <c r="F123" s="435" t="s">
        <v>822</v>
      </c>
      <c r="G123" s="625" t="s">
        <v>830</v>
      </c>
      <c r="H123" s="434" t="s">
        <v>824</v>
      </c>
      <c r="I123" s="435" t="s">
        <v>822</v>
      </c>
      <c r="J123" s="625" t="s">
        <v>830</v>
      </c>
      <c r="K123" s="434" t="s">
        <v>824</v>
      </c>
      <c r="L123" s="435" t="s">
        <v>822</v>
      </c>
    </row>
    <row r="124" spans="1:13" s="426" customFormat="1" ht="15.75" x14ac:dyDescent="0.2">
      <c r="A124" s="534" t="s">
        <v>6</v>
      </c>
      <c r="B124" s="503" t="s">
        <v>7</v>
      </c>
      <c r="C124" s="634" t="s">
        <v>8</v>
      </c>
      <c r="D124" s="628" t="s">
        <v>9</v>
      </c>
      <c r="E124" s="629" t="s">
        <v>10</v>
      </c>
      <c r="F124" s="630" t="s">
        <v>467</v>
      </c>
      <c r="G124" s="628" t="s">
        <v>466</v>
      </c>
      <c r="H124" s="503" t="s">
        <v>465</v>
      </c>
      <c r="I124" s="631" t="s">
        <v>464</v>
      </c>
      <c r="J124" s="534" t="s">
        <v>463</v>
      </c>
      <c r="K124" s="503" t="s">
        <v>468</v>
      </c>
      <c r="L124" s="631" t="s">
        <v>469</v>
      </c>
    </row>
    <row r="125" spans="1:13" ht="27.75" customHeight="1" x14ac:dyDescent="0.2">
      <c r="A125" s="475" t="s">
        <v>54</v>
      </c>
      <c r="B125" s="504" t="s">
        <v>6</v>
      </c>
      <c r="C125" s="598" t="s">
        <v>531</v>
      </c>
      <c r="D125" s="469" t="s">
        <v>462</v>
      </c>
      <c r="E125" s="469" t="s">
        <v>462</v>
      </c>
      <c r="F125" s="469" t="s">
        <v>462</v>
      </c>
      <c r="G125" s="469" t="s">
        <v>462</v>
      </c>
      <c r="H125" s="469" t="s">
        <v>462</v>
      </c>
      <c r="I125" s="469" t="s">
        <v>462</v>
      </c>
      <c r="J125" s="764">
        <f>Титульный!G179+Титульный!G180+Титульный!G181</f>
        <v>0</v>
      </c>
      <c r="K125" s="766"/>
      <c r="L125" s="765"/>
      <c r="M125" s="331" t="s">
        <v>532</v>
      </c>
    </row>
    <row r="126" spans="1:13" ht="27.75" customHeight="1" x14ac:dyDescent="0.2">
      <c r="A126" s="493"/>
      <c r="B126" s="502"/>
      <c r="C126" s="638" t="s">
        <v>492</v>
      </c>
      <c r="D126" s="671" t="str">
        <f>D125</f>
        <v>Х</v>
      </c>
      <c r="E126" s="469" t="s">
        <v>462</v>
      </c>
      <c r="F126" s="469" t="s">
        <v>462</v>
      </c>
      <c r="G126" s="671" t="str">
        <f>G125</f>
        <v>Х</v>
      </c>
      <c r="H126" s="469" t="s">
        <v>462</v>
      </c>
      <c r="I126" s="469" t="s">
        <v>462</v>
      </c>
      <c r="J126" s="671">
        <f>J125</f>
        <v>0</v>
      </c>
      <c r="K126" s="716">
        <f t="shared" ref="K126:L126" si="5">K125</f>
        <v>0</v>
      </c>
      <c r="L126" s="716">
        <f t="shared" si="5"/>
        <v>0</v>
      </c>
    </row>
  </sheetData>
  <mergeCells count="155">
    <mergeCell ref="G29:I29"/>
    <mergeCell ref="G31:I31"/>
    <mergeCell ref="G30:I30"/>
    <mergeCell ref="G32:I32"/>
    <mergeCell ref="A25:L25"/>
    <mergeCell ref="G33:I33"/>
    <mergeCell ref="G34:I34"/>
    <mergeCell ref="D28:F28"/>
    <mergeCell ref="D29:F29"/>
    <mergeCell ref="D27:L27"/>
    <mergeCell ref="J28:L28"/>
    <mergeCell ref="J29:L29"/>
    <mergeCell ref="J30:L30"/>
    <mergeCell ref="D30:F30"/>
    <mergeCell ref="D31:F31"/>
    <mergeCell ref="D32:F32"/>
    <mergeCell ref="D33:F33"/>
    <mergeCell ref="J31:L31"/>
    <mergeCell ref="J32:L32"/>
    <mergeCell ref="J33:L33"/>
    <mergeCell ref="C27:C28"/>
    <mergeCell ref="G28:I28"/>
    <mergeCell ref="A7:L7"/>
    <mergeCell ref="A8:L8"/>
    <mergeCell ref="A9:L9"/>
    <mergeCell ref="A15:A16"/>
    <mergeCell ref="B15:B16"/>
    <mergeCell ref="C15:C16"/>
    <mergeCell ref="D15:F15"/>
    <mergeCell ref="G15:I15"/>
    <mergeCell ref="J15:L15"/>
    <mergeCell ref="A13:L13"/>
    <mergeCell ref="J122:L122"/>
    <mergeCell ref="U15:V17"/>
    <mergeCell ref="M42:R46"/>
    <mergeCell ref="Q81:Q92"/>
    <mergeCell ref="A99:A100"/>
    <mergeCell ref="B99:B100"/>
    <mergeCell ref="C99:C100"/>
    <mergeCell ref="R56:T58"/>
    <mergeCell ref="A68:A69"/>
    <mergeCell ref="B68:B69"/>
    <mergeCell ref="C68:C69"/>
    <mergeCell ref="A79:A80"/>
    <mergeCell ref="B79:B80"/>
    <mergeCell ref="C79:C80"/>
    <mergeCell ref="G40:I40"/>
    <mergeCell ref="J40:L40"/>
    <mergeCell ref="A53:A54"/>
    <mergeCell ref="B53:B54"/>
    <mergeCell ref="C53:C54"/>
    <mergeCell ref="D53:F53"/>
    <mergeCell ref="G53:I53"/>
    <mergeCell ref="J53:L53"/>
    <mergeCell ref="A27:A28"/>
    <mergeCell ref="B27:B28"/>
    <mergeCell ref="A122:A123"/>
    <mergeCell ref="B122:B123"/>
    <mergeCell ref="C122:C123"/>
    <mergeCell ref="D122:F122"/>
    <mergeCell ref="A110:A111"/>
    <mergeCell ref="B110:B111"/>
    <mergeCell ref="C110:C111"/>
    <mergeCell ref="D110:F110"/>
    <mergeCell ref="G110:I110"/>
    <mergeCell ref="G122:I122"/>
    <mergeCell ref="A77:L77"/>
    <mergeCell ref="A97:L97"/>
    <mergeCell ref="D72:F72"/>
    <mergeCell ref="D73:F73"/>
    <mergeCell ref="D68:L68"/>
    <mergeCell ref="J71:L71"/>
    <mergeCell ref="D79:L79"/>
    <mergeCell ref="D80:F80"/>
    <mergeCell ref="G80:I80"/>
    <mergeCell ref="J80:L80"/>
    <mergeCell ref="D81:F81"/>
    <mergeCell ref="G81:I81"/>
    <mergeCell ref="J81:L81"/>
    <mergeCell ref="J72:L72"/>
    <mergeCell ref="J73:L73"/>
    <mergeCell ref="G71:I71"/>
    <mergeCell ref="G72:I72"/>
    <mergeCell ref="G73:I73"/>
    <mergeCell ref="D71:F71"/>
    <mergeCell ref="G91:I91"/>
    <mergeCell ref="G92:I92"/>
    <mergeCell ref="G93:I93"/>
    <mergeCell ref="J88:L88"/>
    <mergeCell ref="J89:L89"/>
    <mergeCell ref="A51:L51"/>
    <mergeCell ref="J69:L69"/>
    <mergeCell ref="J70:L70"/>
    <mergeCell ref="G69:I69"/>
    <mergeCell ref="G70:I70"/>
    <mergeCell ref="D69:F69"/>
    <mergeCell ref="D70:F70"/>
    <mergeCell ref="A40:A41"/>
    <mergeCell ref="B40:B41"/>
    <mergeCell ref="C40:C41"/>
    <mergeCell ref="D40:F40"/>
    <mergeCell ref="A38:L38"/>
    <mergeCell ref="A66:L66"/>
    <mergeCell ref="J34:L34"/>
    <mergeCell ref="D34:F34"/>
    <mergeCell ref="D87:F87"/>
    <mergeCell ref="D88:F88"/>
    <mergeCell ref="D89:F89"/>
    <mergeCell ref="D90:F90"/>
    <mergeCell ref="D91:F91"/>
    <mergeCell ref="D82:F82"/>
    <mergeCell ref="D83:F83"/>
    <mergeCell ref="D84:F84"/>
    <mergeCell ref="D85:F85"/>
    <mergeCell ref="D86:F86"/>
    <mergeCell ref="G82:I82"/>
    <mergeCell ref="G83:I83"/>
    <mergeCell ref="G84:I84"/>
    <mergeCell ref="G85:I85"/>
    <mergeCell ref="G86:I86"/>
    <mergeCell ref="G87:I87"/>
    <mergeCell ref="G88:I88"/>
    <mergeCell ref="G89:I89"/>
    <mergeCell ref="G90:I90"/>
    <mergeCell ref="J87:L87"/>
    <mergeCell ref="J90:L90"/>
    <mergeCell ref="J91:L91"/>
    <mergeCell ref="J82:L82"/>
    <mergeCell ref="J83:L83"/>
    <mergeCell ref="J84:L84"/>
    <mergeCell ref="J85:L85"/>
    <mergeCell ref="J86:L86"/>
    <mergeCell ref="G101:I101"/>
    <mergeCell ref="J101:L101"/>
    <mergeCell ref="J92:L92"/>
    <mergeCell ref="J93:L93"/>
    <mergeCell ref="D99:L99"/>
    <mergeCell ref="D100:F100"/>
    <mergeCell ref="G100:I100"/>
    <mergeCell ref="J100:L100"/>
    <mergeCell ref="D101:F101"/>
    <mergeCell ref="D92:F92"/>
    <mergeCell ref="D93:F93"/>
    <mergeCell ref="A108:L108"/>
    <mergeCell ref="A120:L120"/>
    <mergeCell ref="D102:F102"/>
    <mergeCell ref="D103:F103"/>
    <mergeCell ref="D104:F104"/>
    <mergeCell ref="G102:I102"/>
    <mergeCell ref="G103:I103"/>
    <mergeCell ref="G104:I104"/>
    <mergeCell ref="J102:L102"/>
    <mergeCell ref="J103:L103"/>
    <mergeCell ref="J104:L104"/>
    <mergeCell ref="J110:L110"/>
  </mergeCells>
  <pageMargins left="0.19685039370078741" right="0.19685039370078741" top="0.74803149606299213" bottom="0.19685039370078741" header="0.31496062992125984" footer="0.31496062992125984"/>
  <pageSetup paperSize="9" scale="70" orientation="landscape" r:id="rId1"/>
  <rowBreaks count="3" manualBreakCount="3">
    <brk id="35" max="11" man="1"/>
    <brk id="65" max="11" man="1"/>
    <brk id="96" max="11"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7"/>
  <dimension ref="A1:T87"/>
  <sheetViews>
    <sheetView view="pageBreakPreview" zoomScale="85" zoomScaleNormal="67" zoomScaleSheetLayoutView="85" workbookViewId="0">
      <selection activeCell="J15" sqref="J15"/>
    </sheetView>
  </sheetViews>
  <sheetFormatPr defaultRowHeight="15" x14ac:dyDescent="0.2"/>
  <cols>
    <col min="1" max="1" width="11.28515625" style="505" customWidth="1"/>
    <col min="2" max="2" width="4.85546875" style="505" customWidth="1"/>
    <col min="3" max="3" width="27.140625" customWidth="1"/>
    <col min="4" max="10" width="15.5703125" customWidth="1"/>
    <col min="11" max="12" width="14.42578125" customWidth="1"/>
  </cols>
  <sheetData>
    <row r="1" spans="1:19" s="331" customFormat="1" ht="59.25" customHeight="1" x14ac:dyDescent="0.2">
      <c r="A1" s="1103" t="s">
        <v>794</v>
      </c>
      <c r="B1" s="1103"/>
      <c r="C1" s="1103"/>
      <c r="D1" s="1103"/>
      <c r="E1" s="1103"/>
      <c r="F1" s="1103"/>
      <c r="G1" s="1103"/>
      <c r="H1" s="1103"/>
      <c r="I1" s="1103"/>
      <c r="J1" s="1103"/>
      <c r="K1" s="332"/>
      <c r="L1" s="339"/>
      <c r="M1" s="339"/>
      <c r="N1" s="339"/>
    </row>
    <row r="2" spans="1:19" s="331" customFormat="1" ht="21" customHeight="1" x14ac:dyDescent="0.2">
      <c r="A2" s="1133" t="str">
        <f>Доходы!A9</f>
        <v>на 2021 год и плановый период 2022 и 2023 годов</v>
      </c>
      <c r="B2" s="1133"/>
      <c r="C2" s="1133"/>
      <c r="D2" s="1133"/>
      <c r="E2" s="1133"/>
      <c r="F2" s="1133"/>
      <c r="G2" s="1133"/>
      <c r="H2" s="1133"/>
      <c r="I2" s="1133"/>
      <c r="J2" s="1133"/>
      <c r="K2" s="332"/>
      <c r="L2" s="339"/>
      <c r="M2" s="339"/>
      <c r="N2" s="339"/>
    </row>
    <row r="3" spans="1:19" s="331" customFormat="1" ht="15.75" x14ac:dyDescent="0.2">
      <c r="A3" s="540"/>
      <c r="B3" s="353"/>
    </row>
    <row r="4" spans="1:19" s="331" customFormat="1" ht="27.75" customHeight="1" x14ac:dyDescent="0.2">
      <c r="A4" s="1134" t="s">
        <v>533</v>
      </c>
      <c r="B4" s="1134"/>
      <c r="C4" s="1134"/>
      <c r="D4" s="1134"/>
      <c r="E4" s="1134"/>
      <c r="F4" s="1134"/>
      <c r="G4" s="1134"/>
      <c r="H4" s="1134"/>
      <c r="I4" s="1134"/>
      <c r="J4" s="1134"/>
      <c r="K4" s="449"/>
      <c r="L4" s="449"/>
      <c r="M4" s="449"/>
      <c r="N4" s="449"/>
    </row>
    <row r="5" spans="1:19" s="331" customFormat="1" ht="27.75" customHeight="1" x14ac:dyDescent="0.2">
      <c r="A5" s="989" t="s">
        <v>534</v>
      </c>
      <c r="B5" s="989"/>
      <c r="C5" s="989"/>
      <c r="D5" s="989"/>
      <c r="E5" s="989"/>
      <c r="F5" s="989"/>
      <c r="G5" s="989"/>
      <c r="H5" s="989"/>
      <c r="I5" s="989"/>
      <c r="J5" s="989"/>
    </row>
    <row r="6" spans="1:19" s="331" customFormat="1" ht="15.75" x14ac:dyDescent="0.2">
      <c r="A6" s="353"/>
      <c r="B6" s="353"/>
      <c r="M6" s="340"/>
    </row>
    <row r="7" spans="1:19" s="331" customFormat="1" ht="35.25" customHeight="1" x14ac:dyDescent="0.2">
      <c r="A7" s="1034" t="s">
        <v>535</v>
      </c>
      <c r="B7" s="1000" t="s">
        <v>484</v>
      </c>
      <c r="C7" s="1080" t="s">
        <v>536</v>
      </c>
      <c r="D7" s="1135" t="s">
        <v>831</v>
      </c>
      <c r="E7" s="1136"/>
      <c r="F7" s="1136"/>
      <c r="G7" s="1136"/>
      <c r="H7" s="1136"/>
      <c r="I7" s="1136"/>
      <c r="J7" s="1137"/>
      <c r="K7" s="333"/>
      <c r="L7" s="333"/>
      <c r="M7" s="341"/>
    </row>
    <row r="8" spans="1:19" s="331" customFormat="1" ht="13.15" customHeight="1" x14ac:dyDescent="0.2">
      <c r="A8" s="1035"/>
      <c r="B8" s="1036"/>
      <c r="C8" s="1081"/>
      <c r="D8" s="1086" t="s">
        <v>537</v>
      </c>
      <c r="E8" s="1089" t="s">
        <v>538</v>
      </c>
      <c r="F8" s="1090"/>
      <c r="G8" s="1090"/>
      <c r="H8" s="1091"/>
      <c r="I8" s="1092" t="s">
        <v>539</v>
      </c>
      <c r="J8" s="1095" t="s">
        <v>540</v>
      </c>
      <c r="K8" s="333"/>
      <c r="L8" s="342"/>
      <c r="M8" s="342"/>
    </row>
    <row r="9" spans="1:19" s="331" customFormat="1" ht="12.75" x14ac:dyDescent="0.2">
      <c r="A9" s="1035"/>
      <c r="B9" s="1036"/>
      <c r="C9" s="1081"/>
      <c r="D9" s="1087"/>
      <c r="E9" s="1098" t="s">
        <v>541</v>
      </c>
      <c r="F9" s="1100" t="s">
        <v>30</v>
      </c>
      <c r="G9" s="1101"/>
      <c r="H9" s="1102"/>
      <c r="I9" s="1093"/>
      <c r="J9" s="1096"/>
      <c r="K9" s="333"/>
      <c r="M9" s="342"/>
    </row>
    <row r="10" spans="1:19" s="331" customFormat="1" ht="52.5" customHeight="1" x14ac:dyDescent="0.2">
      <c r="A10" s="1078"/>
      <c r="B10" s="1079"/>
      <c r="C10" s="1082"/>
      <c r="D10" s="1088"/>
      <c r="E10" s="1099"/>
      <c r="F10" s="500" t="s">
        <v>542</v>
      </c>
      <c r="G10" s="500" t="s">
        <v>543</v>
      </c>
      <c r="H10" s="547" t="s">
        <v>544</v>
      </c>
      <c r="I10" s="1094"/>
      <c r="J10" s="1097"/>
      <c r="K10" s="344"/>
      <c r="L10" s="1131" t="s">
        <v>671</v>
      </c>
      <c r="M10" s="1132"/>
      <c r="N10" s="1132"/>
      <c r="O10" s="1132"/>
      <c r="P10" s="1132"/>
      <c r="Q10" s="1132"/>
      <c r="R10" s="1132"/>
      <c r="S10" s="1132"/>
    </row>
    <row r="11" spans="1:19" s="374" customFormat="1" ht="27" customHeight="1" x14ac:dyDescent="0.2">
      <c r="A11" s="551" t="s">
        <v>6</v>
      </c>
      <c r="B11" s="544" t="s">
        <v>7</v>
      </c>
      <c r="C11" s="546" t="s">
        <v>8</v>
      </c>
      <c r="D11" s="552">
        <v>4</v>
      </c>
      <c r="E11" s="551" t="s">
        <v>672</v>
      </c>
      <c r="F11" s="544">
        <v>6</v>
      </c>
      <c r="G11" s="544">
        <v>7</v>
      </c>
      <c r="H11" s="546">
        <v>8</v>
      </c>
      <c r="I11" s="553">
        <v>9</v>
      </c>
      <c r="J11" s="554" t="s">
        <v>545</v>
      </c>
      <c r="K11" s="333"/>
      <c r="L11" s="1129" t="s">
        <v>546</v>
      </c>
      <c r="M11" s="1130"/>
      <c r="N11" s="1130"/>
      <c r="O11" s="1130"/>
      <c r="P11" s="1130"/>
      <c r="Q11" s="1130"/>
      <c r="R11" s="1130"/>
      <c r="S11" s="1130"/>
    </row>
    <row r="12" spans="1:19" s="539" customFormat="1" ht="27.75" customHeight="1" x14ac:dyDescent="0.2">
      <c r="A12" s="548" t="s">
        <v>61</v>
      </c>
      <c r="B12" s="549" t="s">
        <v>6</v>
      </c>
      <c r="C12" s="550" t="s">
        <v>303</v>
      </c>
      <c r="D12" s="555">
        <f>Титульный!E165</f>
        <v>5</v>
      </c>
      <c r="E12" s="472">
        <f>IFERROR(ROUND(J12/D12/12*1.8/2.3,2),0)</f>
        <v>61004.639999999999</v>
      </c>
      <c r="F12" s="459">
        <f>ROUND(E12*0.75/1.8,2)</f>
        <v>25418.6</v>
      </c>
      <c r="G12" s="459">
        <f>E12-F12-H12</f>
        <v>27113.17</v>
      </c>
      <c r="H12" s="460">
        <f>ROUND(F12*0.25/0.75,2)</f>
        <v>8472.8700000000008</v>
      </c>
      <c r="I12" s="556">
        <f>IFERROR(J12-(D12*E12*12),0)</f>
        <v>1016744.1099999994</v>
      </c>
      <c r="J12" s="557">
        <f>IFERROR(ROUND(D12/SUM(D12:D14)*($J$16-J15),2),0)</f>
        <v>4677022.51</v>
      </c>
      <c r="K12" s="538"/>
      <c r="L12" s="1129"/>
      <c r="M12" s="1130"/>
      <c r="N12" s="1130"/>
      <c r="O12" s="1130"/>
      <c r="P12" s="1130"/>
      <c r="Q12" s="1130"/>
      <c r="R12" s="1130"/>
      <c r="S12" s="1130"/>
    </row>
    <row r="13" spans="1:19" s="539" customFormat="1" ht="27.75" customHeight="1" x14ac:dyDescent="0.2">
      <c r="A13" s="418" t="s">
        <v>61</v>
      </c>
      <c r="B13" s="415" t="s">
        <v>7</v>
      </c>
      <c r="C13" s="528" t="s">
        <v>304</v>
      </c>
      <c r="D13" s="684">
        <f>Титульный!E166</f>
        <v>55.8</v>
      </c>
      <c r="E13" s="473">
        <f>IFERROR(ROUND(J13/D13/12*1.8/2.3,2),0)</f>
        <v>61004.639999999999</v>
      </c>
      <c r="F13" s="461">
        <f>ROUND(E13*0.65/1.8,2)</f>
        <v>22029.45</v>
      </c>
      <c r="G13" s="461">
        <f t="shared" ref="G13:G14" si="0">ROUND(E13*0.8/1.8,2)</f>
        <v>27113.17</v>
      </c>
      <c r="H13" s="462">
        <f>ROUND(F13*0.35/0.65,2)</f>
        <v>11862.01</v>
      </c>
      <c r="I13" s="559">
        <f>IFERROR(J13-(D13*E13*12),0)</f>
        <v>11346864.316</v>
      </c>
      <c r="J13" s="560">
        <f>IFERROR(ROUND(D13/SUM(D12:D14)*($J$16-J15),2),0)</f>
        <v>52195571.259999998</v>
      </c>
      <c r="K13" s="538"/>
      <c r="L13" s="1129"/>
      <c r="M13" s="1130"/>
      <c r="N13" s="1130"/>
      <c r="O13" s="1130"/>
      <c r="P13" s="1130"/>
      <c r="Q13" s="1130"/>
      <c r="R13" s="1130"/>
      <c r="S13" s="1130"/>
    </row>
    <row r="14" spans="1:19" s="539" customFormat="1" ht="27.75" customHeight="1" x14ac:dyDescent="0.2">
      <c r="A14" s="418" t="s">
        <v>61</v>
      </c>
      <c r="B14" s="415" t="s">
        <v>8</v>
      </c>
      <c r="C14" s="528" t="s">
        <v>547</v>
      </c>
      <c r="D14" s="684">
        <f>Титульный!E167</f>
        <v>0</v>
      </c>
      <c r="E14" s="473">
        <f t="shared" ref="E14" si="1">IFERROR(ROUND(J14/D14/12*1.8/2.3,2),0)</f>
        <v>0</v>
      </c>
      <c r="F14" s="461">
        <f>ROUND(E14*0.75/1.8,2)</f>
        <v>0</v>
      </c>
      <c r="G14" s="461">
        <f t="shared" si="0"/>
        <v>0</v>
      </c>
      <c r="H14" s="462">
        <f>ROUND(F14*0.35/0.65,2)</f>
        <v>0</v>
      </c>
      <c r="I14" s="559">
        <f>IFERROR(J14-(D14*E14*12),0)</f>
        <v>0</v>
      </c>
      <c r="J14" s="560">
        <f>IFERROR(ROUND(D14/SUM(D12:D14)*($J$16-J15),2),0)</f>
        <v>0</v>
      </c>
      <c r="K14" s="538"/>
      <c r="L14" s="1129"/>
      <c r="M14" s="1130"/>
      <c r="N14" s="1130"/>
      <c r="O14" s="1130"/>
      <c r="P14" s="1130"/>
      <c r="Q14" s="1130"/>
      <c r="R14" s="1130"/>
      <c r="S14" s="1130"/>
    </row>
    <row r="15" spans="1:19" s="539" customFormat="1" ht="27.75" customHeight="1" x14ac:dyDescent="0.2">
      <c r="A15" s="542" t="s">
        <v>61</v>
      </c>
      <c r="B15" s="543" t="s">
        <v>9</v>
      </c>
      <c r="C15" s="530" t="s">
        <v>548</v>
      </c>
      <c r="D15" s="561">
        <f>Титульный!E168</f>
        <v>19.7</v>
      </c>
      <c r="E15" s="474">
        <f>IFERROR(ROUND(J15/D15/12*1.8/2.3,2),0)</f>
        <v>1918.8</v>
      </c>
      <c r="F15" s="471">
        <f>ROUND(E15*0.75/1.8,2)</f>
        <v>799.5</v>
      </c>
      <c r="G15" s="471">
        <f>ROUND(E15*0.8/1.8,2)</f>
        <v>852.8</v>
      </c>
      <c r="H15" s="527">
        <f>ROUND(F15*0.25/0.75,2)</f>
        <v>266.5</v>
      </c>
      <c r="I15" s="562">
        <f>IFERROR(J15-(D15*E15*12),0)</f>
        <v>126001.20000000001</v>
      </c>
      <c r="J15" s="563">
        <f>IF(ROUNDUP(12792*2.3*D15,2)&gt;J16*0.25,J16*0.25,ROUNDUP(12792*2.3*D15,2))</f>
        <v>579605.52</v>
      </c>
      <c r="K15" s="538"/>
      <c r="L15" s="1129"/>
      <c r="M15" s="1130"/>
      <c r="N15" s="1130"/>
      <c r="O15" s="1130"/>
      <c r="P15" s="1130"/>
      <c r="Q15" s="1130"/>
      <c r="R15" s="1130"/>
      <c r="S15" s="1130"/>
    </row>
    <row r="16" spans="1:19" s="539" customFormat="1" ht="27.75" customHeight="1" x14ac:dyDescent="0.2">
      <c r="A16" s="393">
        <v>111</v>
      </c>
      <c r="B16" s="394"/>
      <c r="C16" s="545" t="s">
        <v>611</v>
      </c>
      <c r="D16" s="683">
        <f>D12+D13+D14+D15</f>
        <v>80.5</v>
      </c>
      <c r="E16" s="565">
        <f>IFERROR(ROUND(J16/D16/12*1.8/2.3,2),0)</f>
        <v>46545.120000000003</v>
      </c>
      <c r="F16" s="529">
        <f>ROUND(E16*0.75/1.8,2)</f>
        <v>19393.8</v>
      </c>
      <c r="G16" s="529">
        <f>ROUND(E16*0.8/1.8,2)</f>
        <v>20686.72</v>
      </c>
      <c r="H16" s="513">
        <f>ROUND(F16*0.25/0.75,2)</f>
        <v>6464.6</v>
      </c>
      <c r="I16" s="566">
        <f>SUM(I12:I15)</f>
        <v>12489609.625999998</v>
      </c>
      <c r="J16" s="567">
        <f>Титульный!E13+Титульный!E56+Титульный!E130</f>
        <v>57452199.289999999</v>
      </c>
      <c r="L16" s="1129"/>
      <c r="M16" s="1130"/>
      <c r="N16" s="1130"/>
      <c r="O16" s="1130"/>
      <c r="P16" s="1130"/>
      <c r="Q16" s="1130"/>
      <c r="R16" s="1130"/>
      <c r="S16" s="1130"/>
    </row>
    <row r="17" spans="1:20" s="331" customFormat="1" ht="15.75" x14ac:dyDescent="0.2">
      <c r="A17" s="353"/>
      <c r="B17" s="353"/>
      <c r="K17" s="361"/>
    </row>
    <row r="18" spans="1:20" s="331" customFormat="1" ht="35.25" customHeight="1" x14ac:dyDescent="0.2">
      <c r="A18" s="1034" t="s">
        <v>535</v>
      </c>
      <c r="B18" s="1000" t="s">
        <v>484</v>
      </c>
      <c r="C18" s="1080" t="s">
        <v>536</v>
      </c>
      <c r="D18" s="1083" t="s">
        <v>825</v>
      </c>
      <c r="E18" s="1084"/>
      <c r="F18" s="1084"/>
      <c r="G18" s="1084"/>
      <c r="H18" s="1084"/>
      <c r="I18" s="1084"/>
      <c r="J18" s="1085"/>
      <c r="K18" s="333"/>
      <c r="L18" s="333"/>
      <c r="M18" s="341"/>
    </row>
    <row r="19" spans="1:20" s="331" customFormat="1" ht="13.15" customHeight="1" x14ac:dyDescent="0.2">
      <c r="A19" s="1035"/>
      <c r="B19" s="1036"/>
      <c r="C19" s="1081"/>
      <c r="D19" s="1086" t="s">
        <v>537</v>
      </c>
      <c r="E19" s="1089" t="s">
        <v>538</v>
      </c>
      <c r="F19" s="1090"/>
      <c r="G19" s="1090"/>
      <c r="H19" s="1091"/>
      <c r="I19" s="1092" t="s">
        <v>539</v>
      </c>
      <c r="J19" s="1095" t="s">
        <v>540</v>
      </c>
      <c r="K19" s="333"/>
      <c r="L19" s="342"/>
      <c r="M19" s="342"/>
    </row>
    <row r="20" spans="1:20" s="331" customFormat="1" ht="12.75" customHeight="1" x14ac:dyDescent="0.2">
      <c r="A20" s="1035"/>
      <c r="B20" s="1036"/>
      <c r="C20" s="1081"/>
      <c r="D20" s="1087"/>
      <c r="E20" s="1098" t="s">
        <v>541</v>
      </c>
      <c r="F20" s="1100" t="s">
        <v>30</v>
      </c>
      <c r="G20" s="1101"/>
      <c r="H20" s="1102"/>
      <c r="I20" s="1093"/>
      <c r="J20" s="1096"/>
      <c r="K20" s="333"/>
      <c r="L20" s="354"/>
      <c r="M20" s="342"/>
    </row>
    <row r="21" spans="1:20" s="331" customFormat="1" ht="52.5" customHeight="1" x14ac:dyDescent="0.2">
      <c r="A21" s="1078"/>
      <c r="B21" s="1079"/>
      <c r="C21" s="1082"/>
      <c r="D21" s="1088"/>
      <c r="E21" s="1099"/>
      <c r="F21" s="500" t="s">
        <v>542</v>
      </c>
      <c r="G21" s="500" t="s">
        <v>543</v>
      </c>
      <c r="H21" s="547" t="s">
        <v>544</v>
      </c>
      <c r="I21" s="1094"/>
      <c r="J21" s="1097"/>
      <c r="K21" s="344"/>
      <c r="L21" s="354"/>
    </row>
    <row r="22" spans="1:20" s="331" customFormat="1" ht="26.25" customHeight="1" x14ac:dyDescent="0.2">
      <c r="A22" s="551" t="s">
        <v>6</v>
      </c>
      <c r="B22" s="544" t="s">
        <v>7</v>
      </c>
      <c r="C22" s="546" t="s">
        <v>8</v>
      </c>
      <c r="D22" s="552">
        <v>4</v>
      </c>
      <c r="E22" s="551" t="s">
        <v>672</v>
      </c>
      <c r="F22" s="544">
        <v>6</v>
      </c>
      <c r="G22" s="544">
        <v>7</v>
      </c>
      <c r="H22" s="546">
        <v>8</v>
      </c>
      <c r="I22" s="553">
        <v>9</v>
      </c>
      <c r="J22" s="554" t="s">
        <v>545</v>
      </c>
      <c r="K22" s="345"/>
      <c r="N22" s="1076"/>
      <c r="O22" s="1076"/>
      <c r="P22" s="1076"/>
      <c r="Q22" s="1076"/>
      <c r="R22" s="1076"/>
      <c r="S22" s="1076"/>
      <c r="T22" s="1076"/>
    </row>
    <row r="23" spans="1:20" s="539" customFormat="1" ht="27.75" customHeight="1" x14ac:dyDescent="0.2">
      <c r="A23" s="548" t="s">
        <v>61</v>
      </c>
      <c r="B23" s="549" t="s">
        <v>6</v>
      </c>
      <c r="C23" s="550" t="s">
        <v>303</v>
      </c>
      <c r="D23" s="555">
        <f>D12</f>
        <v>5</v>
      </c>
      <c r="E23" s="472">
        <f>IFERROR(ROUND(J23/D23/12*1.8/2.3,2),0)</f>
        <v>61414.13</v>
      </c>
      <c r="F23" s="459">
        <f>ROUND(E23*0.75/1.8,2)</f>
        <v>25589.22</v>
      </c>
      <c r="G23" s="459">
        <f>E23-F23-H23</f>
        <v>27295.17</v>
      </c>
      <c r="H23" s="460">
        <f>ROUND(F23*0.25/0.75,2)</f>
        <v>8529.74</v>
      </c>
      <c r="I23" s="556">
        <f>IFERROR(J23-(D23*E23*12),0)</f>
        <v>1023568.96</v>
      </c>
      <c r="J23" s="557">
        <f>IFERROR(ROUND(J12*$J$27/$J$16,2),0)</f>
        <v>4708416.76</v>
      </c>
      <c r="N23" s="1076"/>
      <c r="O23" s="1076"/>
      <c r="P23" s="1076"/>
      <c r="Q23" s="1076"/>
      <c r="R23" s="1076"/>
      <c r="S23" s="1076"/>
      <c r="T23" s="1076"/>
    </row>
    <row r="24" spans="1:20" s="539" customFormat="1" ht="27.75" customHeight="1" x14ac:dyDescent="0.2">
      <c r="A24" s="418" t="s">
        <v>61</v>
      </c>
      <c r="B24" s="415" t="s">
        <v>7</v>
      </c>
      <c r="C24" s="528" t="s">
        <v>304</v>
      </c>
      <c r="D24" s="558">
        <f>D13</f>
        <v>55.8</v>
      </c>
      <c r="E24" s="473">
        <f>IFERROR(ROUND(J24/D24/12*1.8/2.3,2),0)</f>
        <v>61414.13</v>
      </c>
      <c r="F24" s="461">
        <f>ROUND(E24*0.65/1.8,2)</f>
        <v>22177.32</v>
      </c>
      <c r="G24" s="461">
        <f t="shared" ref="G24:G27" si="2">ROUND(E24*0.8/1.8,2)</f>
        <v>27295.17</v>
      </c>
      <c r="H24" s="462">
        <f>ROUND(F24*0.35/0.65,2)</f>
        <v>11941.63</v>
      </c>
      <c r="I24" s="559">
        <f>IFERROR(J24-(D24*E24*12),0)</f>
        <v>11423029.702</v>
      </c>
      <c r="J24" s="560">
        <f>IFERROR(ROUND(J13*$J$27/$J$16,2),0)</f>
        <v>52545931.149999999</v>
      </c>
      <c r="N24" s="1076"/>
      <c r="O24" s="1076"/>
      <c r="P24" s="1076"/>
      <c r="Q24" s="1076"/>
      <c r="R24" s="1076"/>
      <c r="S24" s="1076"/>
      <c r="T24" s="1076"/>
    </row>
    <row r="25" spans="1:20" s="539" customFormat="1" ht="27.75" customHeight="1" x14ac:dyDescent="0.2">
      <c r="A25" s="418" t="s">
        <v>61</v>
      </c>
      <c r="B25" s="415" t="s">
        <v>8</v>
      </c>
      <c r="C25" s="528" t="s">
        <v>547</v>
      </c>
      <c r="D25" s="558">
        <f>D14</f>
        <v>0</v>
      </c>
      <c r="E25" s="473">
        <f t="shared" ref="E25:E27" si="3">IFERROR(ROUND(J25/D25/12*1.8/2.3,2),0)</f>
        <v>0</v>
      </c>
      <c r="F25" s="461">
        <f>ROUND(E25*0.75/1.8,2)</f>
        <v>0</v>
      </c>
      <c r="G25" s="461">
        <f t="shared" si="2"/>
        <v>0</v>
      </c>
      <c r="H25" s="462">
        <f>ROUND(F25*0.35/0.65,2)</f>
        <v>0</v>
      </c>
      <c r="I25" s="559">
        <f>IFERROR(J25-(D25*E25*12),0)</f>
        <v>0</v>
      </c>
      <c r="J25" s="560">
        <f>IFERROR(ROUND(J14*$J$27/$J$16,2),0)</f>
        <v>0</v>
      </c>
    </row>
    <row r="26" spans="1:20" s="539" customFormat="1" ht="27.75" customHeight="1" x14ac:dyDescent="0.2">
      <c r="A26" s="542" t="s">
        <v>61</v>
      </c>
      <c r="B26" s="543" t="s">
        <v>9</v>
      </c>
      <c r="C26" s="530" t="s">
        <v>548</v>
      </c>
      <c r="D26" s="561">
        <f>D15</f>
        <v>19.7</v>
      </c>
      <c r="E26" s="474">
        <f t="shared" si="3"/>
        <v>1931.68</v>
      </c>
      <c r="F26" s="471">
        <f t="shared" ref="F26:F27" si="4">ROUND(E26*0.75/1.8,2)</f>
        <v>804.87</v>
      </c>
      <c r="G26" s="471">
        <f t="shared" si="2"/>
        <v>858.52</v>
      </c>
      <c r="H26" s="527">
        <f>ROUND(F26*0.25/0.75,2)</f>
        <v>268.29000000000002</v>
      </c>
      <c r="I26" s="562">
        <f>IFERROR(J26-(D26*E26*12),0)</f>
        <v>126846.93800000357</v>
      </c>
      <c r="J26" s="563">
        <f>J27-J23-J24-J25</f>
        <v>583496.09000000358</v>
      </c>
    </row>
    <row r="27" spans="1:20" s="539" customFormat="1" ht="27.75" customHeight="1" x14ac:dyDescent="0.2">
      <c r="A27" s="393">
        <v>111</v>
      </c>
      <c r="B27" s="394"/>
      <c r="C27" s="545" t="s">
        <v>492</v>
      </c>
      <c r="D27" s="564">
        <f>D23+D24+D25+D26</f>
        <v>80.5</v>
      </c>
      <c r="E27" s="565">
        <f t="shared" si="3"/>
        <v>46857.56</v>
      </c>
      <c r="F27" s="529">
        <f t="shared" si="4"/>
        <v>19523.98</v>
      </c>
      <c r="G27" s="529">
        <f t="shared" si="2"/>
        <v>20825.580000000002</v>
      </c>
      <c r="H27" s="513">
        <f>ROUND(F27*0.25/0.75,2)</f>
        <v>6507.99</v>
      </c>
      <c r="I27" s="566">
        <f>SUM(I23:I26)</f>
        <v>12573445.600000003</v>
      </c>
      <c r="J27" s="567">
        <f>Титульный!F13+Титульный!F56+Титульный!F130</f>
        <v>57837844</v>
      </c>
    </row>
    <row r="28" spans="1:20" s="331" customFormat="1" ht="15.75" x14ac:dyDescent="0.2">
      <c r="A28" s="353"/>
      <c r="B28" s="353"/>
      <c r="N28" s="374"/>
      <c r="O28" s="374"/>
      <c r="P28" s="374"/>
      <c r="Q28" s="374"/>
      <c r="R28" s="374"/>
      <c r="S28" s="374"/>
      <c r="T28" s="374"/>
    </row>
    <row r="29" spans="1:20" s="331" customFormat="1" ht="35.25" customHeight="1" x14ac:dyDescent="0.2">
      <c r="A29" s="1034" t="s">
        <v>535</v>
      </c>
      <c r="B29" s="1000" t="s">
        <v>484</v>
      </c>
      <c r="C29" s="1080" t="s">
        <v>536</v>
      </c>
      <c r="D29" s="1083" t="s">
        <v>823</v>
      </c>
      <c r="E29" s="1084"/>
      <c r="F29" s="1084"/>
      <c r="G29" s="1084"/>
      <c r="H29" s="1084"/>
      <c r="I29" s="1084"/>
      <c r="J29" s="1085"/>
      <c r="K29" s="333"/>
      <c r="L29" s="333"/>
      <c r="M29" s="341"/>
      <c r="N29" s="374"/>
      <c r="O29" s="374"/>
      <c r="P29" s="374"/>
      <c r="Q29" s="374"/>
      <c r="R29" s="374"/>
      <c r="S29" s="374"/>
      <c r="T29" s="374"/>
    </row>
    <row r="30" spans="1:20" s="331" customFormat="1" ht="13.15" customHeight="1" x14ac:dyDescent="0.2">
      <c r="A30" s="1035"/>
      <c r="B30" s="1036"/>
      <c r="C30" s="1081"/>
      <c r="D30" s="1086" t="s">
        <v>537</v>
      </c>
      <c r="E30" s="1089" t="s">
        <v>538</v>
      </c>
      <c r="F30" s="1090"/>
      <c r="G30" s="1090"/>
      <c r="H30" s="1091"/>
      <c r="I30" s="1092" t="s">
        <v>539</v>
      </c>
      <c r="J30" s="1095" t="s">
        <v>540</v>
      </c>
      <c r="K30" s="333"/>
      <c r="L30" s="342"/>
      <c r="M30" s="342"/>
    </row>
    <row r="31" spans="1:20" s="331" customFormat="1" ht="12.75" customHeight="1" x14ac:dyDescent="0.2">
      <c r="A31" s="1035"/>
      <c r="B31" s="1036"/>
      <c r="C31" s="1081"/>
      <c r="D31" s="1087"/>
      <c r="E31" s="1098" t="s">
        <v>541</v>
      </c>
      <c r="F31" s="1100" t="s">
        <v>30</v>
      </c>
      <c r="G31" s="1101"/>
      <c r="H31" s="1102"/>
      <c r="I31" s="1093"/>
      <c r="J31" s="1096"/>
      <c r="K31" s="333"/>
      <c r="M31" s="342"/>
    </row>
    <row r="32" spans="1:20" s="331" customFormat="1" ht="52.5" customHeight="1" x14ac:dyDescent="0.2">
      <c r="A32" s="1078"/>
      <c r="B32" s="1079"/>
      <c r="C32" s="1082"/>
      <c r="D32" s="1088"/>
      <c r="E32" s="1099"/>
      <c r="F32" s="500" t="s">
        <v>542</v>
      </c>
      <c r="G32" s="500" t="s">
        <v>543</v>
      </c>
      <c r="H32" s="547" t="s">
        <v>544</v>
      </c>
      <c r="I32" s="1094"/>
      <c r="J32" s="1097"/>
      <c r="K32" s="344"/>
    </row>
    <row r="33" spans="1:20" s="374" customFormat="1" ht="26.25" customHeight="1" x14ac:dyDescent="0.2">
      <c r="A33" s="551" t="s">
        <v>6</v>
      </c>
      <c r="B33" s="544" t="s">
        <v>7</v>
      </c>
      <c r="C33" s="546" t="s">
        <v>8</v>
      </c>
      <c r="D33" s="552">
        <v>4</v>
      </c>
      <c r="E33" s="551" t="s">
        <v>672</v>
      </c>
      <c r="F33" s="544">
        <v>6</v>
      </c>
      <c r="G33" s="544">
        <v>7</v>
      </c>
      <c r="H33" s="546">
        <v>8</v>
      </c>
      <c r="I33" s="553">
        <v>9</v>
      </c>
      <c r="J33" s="554" t="s">
        <v>545</v>
      </c>
      <c r="K33" s="345"/>
      <c r="N33" s="1076"/>
      <c r="O33" s="1077"/>
      <c r="P33" s="1077"/>
      <c r="Q33" s="1077"/>
      <c r="R33" s="1077"/>
      <c r="S33" s="1077"/>
      <c r="T33" s="1077"/>
    </row>
    <row r="34" spans="1:20" s="539" customFormat="1" ht="27.75" customHeight="1" x14ac:dyDescent="0.2">
      <c r="A34" s="548" t="s">
        <v>61</v>
      </c>
      <c r="B34" s="549" t="s">
        <v>6</v>
      </c>
      <c r="C34" s="550" t="s">
        <v>303</v>
      </c>
      <c r="D34" s="555">
        <f>D12</f>
        <v>5</v>
      </c>
      <c r="E34" s="472">
        <f>IFERROR(ROUND(J34/D34/12*1.8/2.3,2),0)</f>
        <v>62570.14</v>
      </c>
      <c r="F34" s="459">
        <f>ROUND(E34*0.75/1.8,2)</f>
        <v>26070.89</v>
      </c>
      <c r="G34" s="459">
        <f>E34-F34-H34</f>
        <v>27808.95</v>
      </c>
      <c r="H34" s="460">
        <f>ROUND(F34*0.25/0.75,2)</f>
        <v>8690.2999999999993</v>
      </c>
      <c r="I34" s="556">
        <f>IFERROR(J34-(D34*E34*12),0)</f>
        <v>1042835.3199999994</v>
      </c>
      <c r="J34" s="557">
        <f>IFERROR(ROUND(J12*$J$38/$J$16,2),)</f>
        <v>4797043.72</v>
      </c>
      <c r="N34" s="1077"/>
      <c r="O34" s="1077"/>
      <c r="P34" s="1077"/>
      <c r="Q34" s="1077"/>
      <c r="R34" s="1077"/>
      <c r="S34" s="1077"/>
      <c r="T34" s="1077"/>
    </row>
    <row r="35" spans="1:20" s="539" customFormat="1" ht="27.75" customHeight="1" x14ac:dyDescent="0.2">
      <c r="A35" s="418" t="s">
        <v>61</v>
      </c>
      <c r="B35" s="415" t="s">
        <v>7</v>
      </c>
      <c r="C35" s="528" t="s">
        <v>304</v>
      </c>
      <c r="D35" s="558">
        <f>D13</f>
        <v>55.8</v>
      </c>
      <c r="E35" s="473">
        <f>IFERROR(ROUND(J35/D35/12*1.8/2.3,2),0)</f>
        <v>62570.14</v>
      </c>
      <c r="F35" s="461">
        <f>ROUND(E35*0.65/1.8,2)</f>
        <v>22594.77</v>
      </c>
      <c r="G35" s="461">
        <f t="shared" ref="G35:G38" si="5">ROUND(E35*0.8/1.8,2)</f>
        <v>27808.95</v>
      </c>
      <c r="H35" s="462">
        <f>ROUND(F35*0.35/0.65,2)</f>
        <v>12166.41</v>
      </c>
      <c r="I35" s="559">
        <f>IFERROR(J35-(D35*E35*12),0)</f>
        <v>11638042.245999999</v>
      </c>
      <c r="J35" s="560">
        <f>IFERROR(ROUND(J13*$J$38/$J$16,2),0)</f>
        <v>53535007.990000002</v>
      </c>
      <c r="N35" s="1077"/>
      <c r="O35" s="1077"/>
      <c r="P35" s="1077"/>
      <c r="Q35" s="1077"/>
      <c r="R35" s="1077"/>
      <c r="S35" s="1077"/>
      <c r="T35" s="1077"/>
    </row>
    <row r="36" spans="1:20" s="539" customFormat="1" ht="27.75" customHeight="1" x14ac:dyDescent="0.2">
      <c r="A36" s="418" t="s">
        <v>61</v>
      </c>
      <c r="B36" s="415" t="s">
        <v>8</v>
      </c>
      <c r="C36" s="528" t="s">
        <v>547</v>
      </c>
      <c r="D36" s="558">
        <f>D14</f>
        <v>0</v>
      </c>
      <c r="E36" s="473">
        <f t="shared" ref="E36:E38" si="6">IFERROR(ROUND(J36/D36/12*1.8/2.3,2),0)</f>
        <v>0</v>
      </c>
      <c r="F36" s="461">
        <f>ROUND(E36*0.75/1.8,2)</f>
        <v>0</v>
      </c>
      <c r="G36" s="461">
        <f t="shared" si="5"/>
        <v>0</v>
      </c>
      <c r="H36" s="462">
        <f>ROUND(F36*0.35/0.65,2)</f>
        <v>0</v>
      </c>
      <c r="I36" s="559">
        <f>IFERROR(J36-(D36*E36*12),0)</f>
        <v>0</v>
      </c>
      <c r="J36" s="560">
        <f>IFERROR(ROUND(J14*$J$38/$J$16,2),0)</f>
        <v>0</v>
      </c>
    </row>
    <row r="37" spans="1:20" s="539" customFormat="1" ht="27.75" customHeight="1" x14ac:dyDescent="0.2">
      <c r="A37" s="542" t="s">
        <v>61</v>
      </c>
      <c r="B37" s="543" t="s">
        <v>9</v>
      </c>
      <c r="C37" s="530" t="s">
        <v>548</v>
      </c>
      <c r="D37" s="561">
        <f>D15</f>
        <v>19.7</v>
      </c>
      <c r="E37" s="474">
        <f t="shared" si="6"/>
        <v>1968.04</v>
      </c>
      <c r="F37" s="471">
        <f t="shared" ref="F37:F38" si="7">ROUND(E37*0.75/1.8,2)</f>
        <v>820.02</v>
      </c>
      <c r="G37" s="471">
        <f t="shared" si="5"/>
        <v>874.68</v>
      </c>
      <c r="H37" s="527">
        <f>ROUND(F37*0.25/0.75,2)</f>
        <v>273.33999999999997</v>
      </c>
      <c r="I37" s="562">
        <f>IFERROR(J37-(D37*E37*12),0)</f>
        <v>129234.63399999915</v>
      </c>
      <c r="J37" s="563">
        <f>J38-J34-J35-J36</f>
        <v>594479.28999999911</v>
      </c>
    </row>
    <row r="38" spans="1:20" s="539" customFormat="1" ht="27.75" customHeight="1" x14ac:dyDescent="0.2">
      <c r="A38" s="393">
        <v>111</v>
      </c>
      <c r="B38" s="394"/>
      <c r="C38" s="545" t="s">
        <v>492</v>
      </c>
      <c r="D38" s="564">
        <f>D34+D35+D36+D37</f>
        <v>80.5</v>
      </c>
      <c r="E38" s="565">
        <f t="shared" si="6"/>
        <v>47739.56</v>
      </c>
      <c r="F38" s="529">
        <f t="shared" si="7"/>
        <v>19891.48</v>
      </c>
      <c r="G38" s="529">
        <f t="shared" si="5"/>
        <v>21217.58</v>
      </c>
      <c r="H38" s="513">
        <f>ROUND(F38*0.25/0.75,2)</f>
        <v>6630.49</v>
      </c>
      <c r="I38" s="566">
        <f>SUM(I34:I37)</f>
        <v>12810112.199999999</v>
      </c>
      <c r="J38" s="567">
        <f>Титульный!G13+Титульный!G56+Титульный!G130</f>
        <v>58926531</v>
      </c>
    </row>
    <row r="39" spans="1:20" s="331" customFormat="1" ht="15.75" x14ac:dyDescent="0.2">
      <c r="A39" s="353"/>
      <c r="B39" s="353"/>
    </row>
    <row r="40" spans="1:20" s="331" customFormat="1" ht="15.75" x14ac:dyDescent="0.2">
      <c r="A40" s="353"/>
      <c r="B40" s="353"/>
    </row>
    <row r="41" spans="1:20" s="374" customFormat="1" ht="15.75" x14ac:dyDescent="0.2">
      <c r="A41" s="353"/>
      <c r="B41" s="353"/>
    </row>
    <row r="42" spans="1:20" s="331" customFormat="1" ht="36" customHeight="1" x14ac:dyDescent="0.2">
      <c r="A42" s="1128" t="s">
        <v>549</v>
      </c>
      <c r="B42" s="1128"/>
      <c r="C42" s="1128"/>
      <c r="D42" s="1128"/>
      <c r="E42" s="1128"/>
      <c r="F42" s="1128"/>
      <c r="G42" s="1128"/>
      <c r="H42" s="1128"/>
      <c r="I42" s="1128"/>
      <c r="J42" s="1128"/>
    </row>
    <row r="43" spans="1:20" s="331" customFormat="1" ht="15.75" x14ac:dyDescent="0.2">
      <c r="A43" s="353"/>
      <c r="B43" s="353"/>
    </row>
    <row r="44" spans="1:20" s="331" customFormat="1" ht="34.5" customHeight="1" x14ac:dyDescent="0.2">
      <c r="A44" s="1104" t="s">
        <v>535</v>
      </c>
      <c r="B44" s="1106" t="s">
        <v>484</v>
      </c>
      <c r="C44" s="1108" t="s">
        <v>550</v>
      </c>
      <c r="D44" s="1109"/>
      <c r="E44" s="1121" t="s">
        <v>831</v>
      </c>
      <c r="F44" s="1121"/>
      <c r="G44" s="1121"/>
      <c r="H44" s="1121"/>
      <c r="I44" s="1121"/>
      <c r="J44" s="1122"/>
      <c r="K44"/>
      <c r="L44" s="347"/>
    </row>
    <row r="45" spans="1:20" s="331" customFormat="1" ht="12.75" x14ac:dyDescent="0.2">
      <c r="A45" s="1105"/>
      <c r="B45" s="1107"/>
      <c r="C45" s="1110"/>
      <c r="D45" s="1111"/>
      <c r="E45" s="1116" t="s">
        <v>551</v>
      </c>
      <c r="F45" s="1117"/>
      <c r="G45" s="1117" t="s">
        <v>552</v>
      </c>
      <c r="H45" s="1117"/>
      <c r="I45" s="1117" t="s">
        <v>553</v>
      </c>
      <c r="J45" s="1123"/>
      <c r="K45"/>
      <c r="L45" s="347"/>
    </row>
    <row r="46" spans="1:20" s="333" customFormat="1" ht="15.75" x14ac:dyDescent="0.2">
      <c r="A46" s="534" t="s">
        <v>6</v>
      </c>
      <c r="B46" s="503" t="s">
        <v>7</v>
      </c>
      <c r="C46" s="1114" t="s">
        <v>8</v>
      </c>
      <c r="D46" s="1115"/>
      <c r="E46" s="1118" t="s">
        <v>9</v>
      </c>
      <c r="F46" s="1114"/>
      <c r="G46" s="1114" t="s">
        <v>10</v>
      </c>
      <c r="H46" s="1114"/>
      <c r="I46" s="1114" t="s">
        <v>554</v>
      </c>
      <c r="J46" s="1115"/>
      <c r="K46" s="313"/>
    </row>
    <row r="47" spans="1:20" s="331" customFormat="1" ht="71.45" customHeight="1" x14ac:dyDescent="0.2">
      <c r="A47" s="535" t="s">
        <v>61</v>
      </c>
      <c r="B47" s="536" t="s">
        <v>6</v>
      </c>
      <c r="C47" s="1112" t="s">
        <v>557</v>
      </c>
      <c r="D47" s="1113"/>
      <c r="E47" s="1119">
        <f>IFERROR(ROUNDUP(I47/(J16/D16/12/30.41*0.8*7),0),0)</f>
        <v>0</v>
      </c>
      <c r="F47" s="1120"/>
      <c r="G47" s="1120">
        <f>IFERROR(ROUND(I47/E47,2),0)</f>
        <v>0</v>
      </c>
      <c r="H47" s="1120"/>
      <c r="I47" s="1124">
        <f>Титульный!E57</f>
        <v>0</v>
      </c>
      <c r="J47" s="1125"/>
      <c r="K47"/>
      <c r="L47" s="360"/>
    </row>
    <row r="49" spans="1:12" s="374" customFormat="1" ht="35.25" customHeight="1" x14ac:dyDescent="0.2">
      <c r="A49" s="1104" t="s">
        <v>535</v>
      </c>
      <c r="B49" s="1106" t="s">
        <v>484</v>
      </c>
      <c r="C49" s="1108" t="s">
        <v>550</v>
      </c>
      <c r="D49" s="1109"/>
      <c r="E49" s="1126" t="s">
        <v>825</v>
      </c>
      <c r="F49" s="1126"/>
      <c r="G49" s="1126"/>
      <c r="H49" s="1126"/>
      <c r="I49" s="1126"/>
      <c r="J49" s="1127"/>
      <c r="K49"/>
      <c r="L49" s="373"/>
    </row>
    <row r="50" spans="1:12" s="374" customFormat="1" ht="12.75" x14ac:dyDescent="0.2">
      <c r="A50" s="1105"/>
      <c r="B50" s="1107"/>
      <c r="C50" s="1110"/>
      <c r="D50" s="1111"/>
      <c r="E50" s="1116" t="s">
        <v>551</v>
      </c>
      <c r="F50" s="1117"/>
      <c r="G50" s="1117" t="s">
        <v>552</v>
      </c>
      <c r="H50" s="1117"/>
      <c r="I50" s="1117" t="s">
        <v>553</v>
      </c>
      <c r="J50" s="1123"/>
      <c r="K50"/>
      <c r="L50" s="373"/>
    </row>
    <row r="51" spans="1:12" s="333" customFormat="1" ht="15.75" x14ac:dyDescent="0.2">
      <c r="A51" s="534" t="s">
        <v>6</v>
      </c>
      <c r="B51" s="503" t="s">
        <v>7</v>
      </c>
      <c r="C51" s="1114" t="s">
        <v>8</v>
      </c>
      <c r="D51" s="1115"/>
      <c r="E51" s="1118" t="s">
        <v>9</v>
      </c>
      <c r="F51" s="1114"/>
      <c r="G51" s="1114" t="s">
        <v>10</v>
      </c>
      <c r="H51" s="1114"/>
      <c r="I51" s="1114" t="s">
        <v>554</v>
      </c>
      <c r="J51" s="1115"/>
      <c r="K51" s="313"/>
    </row>
    <row r="52" spans="1:12" s="374" customFormat="1" ht="65.45" customHeight="1" x14ac:dyDescent="0.2">
      <c r="A52" s="535" t="s">
        <v>61</v>
      </c>
      <c r="B52" s="536" t="s">
        <v>6</v>
      </c>
      <c r="C52" s="1112" t="s">
        <v>557</v>
      </c>
      <c r="D52" s="1113"/>
      <c r="E52" s="1119">
        <f>IFERROR(ROUNDUP(I52/(J21/D21/12/30.41*0.8*7),0),0)</f>
        <v>0</v>
      </c>
      <c r="F52" s="1120"/>
      <c r="G52" s="1120">
        <f>IFERROR(ROUND(I52/E52,2),0)</f>
        <v>0</v>
      </c>
      <c r="H52" s="1120"/>
      <c r="I52" s="1124">
        <f>Титульный!F57</f>
        <v>0</v>
      </c>
      <c r="J52" s="1125"/>
      <c r="K52"/>
      <c r="L52" s="360"/>
    </row>
    <row r="54" spans="1:12" s="374" customFormat="1" ht="35.25" customHeight="1" x14ac:dyDescent="0.2">
      <c r="A54" s="1104" t="s">
        <v>535</v>
      </c>
      <c r="B54" s="1106" t="s">
        <v>484</v>
      </c>
      <c r="C54" s="1108" t="s">
        <v>550</v>
      </c>
      <c r="D54" s="1109"/>
      <c r="E54" s="1126" t="s">
        <v>823</v>
      </c>
      <c r="F54" s="1126"/>
      <c r="G54" s="1126"/>
      <c r="H54" s="1126"/>
      <c r="I54" s="1126"/>
      <c r="J54" s="1127"/>
      <c r="K54"/>
      <c r="L54" s="373"/>
    </row>
    <row r="55" spans="1:12" s="374" customFormat="1" ht="12.75" x14ac:dyDescent="0.2">
      <c r="A55" s="1105"/>
      <c r="B55" s="1107"/>
      <c r="C55" s="1110"/>
      <c r="D55" s="1111"/>
      <c r="E55" s="1116" t="s">
        <v>551</v>
      </c>
      <c r="F55" s="1117"/>
      <c r="G55" s="1117" t="s">
        <v>552</v>
      </c>
      <c r="H55" s="1117"/>
      <c r="I55" s="1117" t="s">
        <v>553</v>
      </c>
      <c r="J55" s="1123"/>
      <c r="K55"/>
      <c r="L55" s="373"/>
    </row>
    <row r="56" spans="1:12" s="333" customFormat="1" ht="15.75" x14ac:dyDescent="0.2">
      <c r="A56" s="534" t="s">
        <v>6</v>
      </c>
      <c r="B56" s="503" t="s">
        <v>7</v>
      </c>
      <c r="C56" s="1114" t="s">
        <v>8</v>
      </c>
      <c r="D56" s="1115"/>
      <c r="E56" s="1118" t="s">
        <v>9</v>
      </c>
      <c r="F56" s="1114"/>
      <c r="G56" s="1114" t="s">
        <v>10</v>
      </c>
      <c r="H56" s="1114"/>
      <c r="I56" s="1114" t="s">
        <v>554</v>
      </c>
      <c r="J56" s="1115"/>
      <c r="K56" s="313"/>
    </row>
    <row r="57" spans="1:12" s="374" customFormat="1" ht="64.150000000000006" customHeight="1" x14ac:dyDescent="0.2">
      <c r="A57" s="535" t="s">
        <v>61</v>
      </c>
      <c r="B57" s="536" t="s">
        <v>6</v>
      </c>
      <c r="C57" s="1112" t="s">
        <v>557</v>
      </c>
      <c r="D57" s="1113"/>
      <c r="E57" s="1119">
        <f>IFERROR(ROUNDUP(I57/(J26/D26/12/30.41*0.8*7),0),0)</f>
        <v>0</v>
      </c>
      <c r="F57" s="1120"/>
      <c r="G57" s="1120">
        <f>IFERROR(ROUND(I57/E57,2),0)</f>
        <v>0</v>
      </c>
      <c r="H57" s="1120"/>
      <c r="I57" s="1124">
        <f>Титульный!G57</f>
        <v>0</v>
      </c>
      <c r="J57" s="1125"/>
      <c r="K57"/>
      <c r="L57" s="360"/>
    </row>
    <row r="86" spans="1:2" ht="15.75" x14ac:dyDescent="0.2">
      <c r="A86" s="353"/>
      <c r="B86" s="506"/>
    </row>
    <row r="87" spans="1:2" ht="15.75" x14ac:dyDescent="0.2">
      <c r="A87" s="353"/>
      <c r="B87" s="506"/>
    </row>
  </sheetData>
  <mergeCells count="84">
    <mergeCell ref="A42:J42"/>
    <mergeCell ref="L11:S16"/>
    <mergeCell ref="L10:S10"/>
    <mergeCell ref="A2:J2"/>
    <mergeCell ref="A4:J4"/>
    <mergeCell ref="A5:J5"/>
    <mergeCell ref="A7:A10"/>
    <mergeCell ref="B7:B10"/>
    <mergeCell ref="C7:C10"/>
    <mergeCell ref="D7:J7"/>
    <mergeCell ref="D8:D10"/>
    <mergeCell ref="E8:H8"/>
    <mergeCell ref="I8:I10"/>
    <mergeCell ref="J8:J10"/>
    <mergeCell ref="E9:E10"/>
    <mergeCell ref="F9:H9"/>
    <mergeCell ref="C56:D56"/>
    <mergeCell ref="E56:F56"/>
    <mergeCell ref="G56:H56"/>
    <mergeCell ref="I56:J56"/>
    <mergeCell ref="C57:D57"/>
    <mergeCell ref="E57:F57"/>
    <mergeCell ref="G57:H57"/>
    <mergeCell ref="I57:J57"/>
    <mergeCell ref="E52:F52"/>
    <mergeCell ref="G52:H52"/>
    <mergeCell ref="I52:J52"/>
    <mergeCell ref="C54:D55"/>
    <mergeCell ref="E54:J54"/>
    <mergeCell ref="E55:F55"/>
    <mergeCell ref="G55:H55"/>
    <mergeCell ref="I55:J55"/>
    <mergeCell ref="E49:J49"/>
    <mergeCell ref="E50:F50"/>
    <mergeCell ref="G50:H50"/>
    <mergeCell ref="I50:J50"/>
    <mergeCell ref="C51:D51"/>
    <mergeCell ref="E51:F51"/>
    <mergeCell ref="G51:H51"/>
    <mergeCell ref="I51:J51"/>
    <mergeCell ref="A44:A45"/>
    <mergeCell ref="C47:D47"/>
    <mergeCell ref="C46:D46"/>
    <mergeCell ref="E45:F45"/>
    <mergeCell ref="E46:F46"/>
    <mergeCell ref="E47:F47"/>
    <mergeCell ref="E44:J44"/>
    <mergeCell ref="C44:D45"/>
    <mergeCell ref="B44:B45"/>
    <mergeCell ref="G45:H45"/>
    <mergeCell ref="G46:H46"/>
    <mergeCell ref="G47:H47"/>
    <mergeCell ref="I45:J45"/>
    <mergeCell ref="I46:J46"/>
    <mergeCell ref="I47:J47"/>
    <mergeCell ref="A49:A50"/>
    <mergeCell ref="B49:B50"/>
    <mergeCell ref="A54:A55"/>
    <mergeCell ref="B54:B55"/>
    <mergeCell ref="C49:D50"/>
    <mergeCell ref="C52:D52"/>
    <mergeCell ref="A1:J1"/>
    <mergeCell ref="A18:A21"/>
    <mergeCell ref="B18:B21"/>
    <mergeCell ref="C18:C21"/>
    <mergeCell ref="D18:J18"/>
    <mergeCell ref="D19:D21"/>
    <mergeCell ref="E19:H19"/>
    <mergeCell ref="I19:I21"/>
    <mergeCell ref="J19:J21"/>
    <mergeCell ref="E20:E21"/>
    <mergeCell ref="F20:H20"/>
    <mergeCell ref="N33:T35"/>
    <mergeCell ref="N22:T24"/>
    <mergeCell ref="A29:A32"/>
    <mergeCell ref="B29:B32"/>
    <mergeCell ref="C29:C32"/>
    <mergeCell ref="D29:J29"/>
    <mergeCell ref="D30:D32"/>
    <mergeCell ref="E30:H30"/>
    <mergeCell ref="I30:I32"/>
    <mergeCell ref="J30:J32"/>
    <mergeCell ref="E31:E32"/>
    <mergeCell ref="F31:H31"/>
  </mergeCells>
  <pageMargins left="0.19685039370078741" right="0.19685039370078741" top="0.74803149606299213" bottom="0.19685039370078741" header="0.31496062992125984" footer="0.31496062992125984"/>
  <pageSetup paperSize="9" scale="94" orientation="landscape" r:id="rId1"/>
  <rowBreaks count="2" manualBreakCount="2">
    <brk id="17" max="9" man="1"/>
    <brk id="38"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8"/>
  <dimension ref="A1:O101"/>
  <sheetViews>
    <sheetView view="pageBreakPreview" zoomScale="60" zoomScaleNormal="85" workbookViewId="0">
      <selection activeCell="G35" sqref="G35"/>
    </sheetView>
  </sheetViews>
  <sheetFormatPr defaultColWidth="9.140625" defaultRowHeight="12.75" x14ac:dyDescent="0.2"/>
  <cols>
    <col min="1" max="1" width="11.28515625" style="579" customWidth="1"/>
    <col min="2" max="2" width="4.85546875" style="579" customWidth="1"/>
    <col min="3" max="3" width="49" style="313" customWidth="1"/>
    <col min="4" max="15" width="10.85546875" style="313" customWidth="1"/>
    <col min="16" max="16384" width="9.140625" style="313"/>
  </cols>
  <sheetData>
    <row r="1" spans="1:15" s="571" customFormat="1" ht="36" customHeight="1" x14ac:dyDescent="0.2">
      <c r="A1" s="1128" t="s">
        <v>558</v>
      </c>
      <c r="B1" s="1128"/>
      <c r="C1" s="1128"/>
      <c r="D1" s="1128"/>
      <c r="E1" s="1128"/>
      <c r="F1" s="1128"/>
      <c r="G1" s="1128"/>
      <c r="H1" s="1128"/>
      <c r="I1" s="1128"/>
      <c r="J1" s="1128"/>
      <c r="K1" s="1128"/>
      <c r="L1" s="1128"/>
      <c r="M1" s="1128"/>
      <c r="N1" s="1128"/>
      <c r="O1" s="1128"/>
    </row>
    <row r="2" spans="1:15" s="331" customFormat="1" x14ac:dyDescent="0.2">
      <c r="A2" s="348"/>
      <c r="B2" s="348"/>
    </row>
    <row r="3" spans="1:15" s="331" customFormat="1" ht="15.75" x14ac:dyDescent="0.2">
      <c r="A3" s="1034" t="s">
        <v>535</v>
      </c>
      <c r="B3" s="1000" t="s">
        <v>484</v>
      </c>
      <c r="C3" s="1080" t="s">
        <v>550</v>
      </c>
      <c r="D3" s="1215" t="s">
        <v>553</v>
      </c>
      <c r="E3" s="1216"/>
      <c r="F3" s="1216"/>
      <c r="G3" s="1216"/>
      <c r="H3" s="1216"/>
      <c r="I3" s="1216"/>
      <c r="J3" s="1216"/>
      <c r="K3" s="1216"/>
      <c r="L3" s="1216"/>
      <c r="M3" s="1216"/>
      <c r="N3" s="1216"/>
      <c r="O3" s="1217"/>
    </row>
    <row r="4" spans="1:15" s="331" customFormat="1" ht="34.5" customHeight="1" x14ac:dyDescent="0.2">
      <c r="A4" s="1035"/>
      <c r="B4" s="1036"/>
      <c r="C4" s="1081"/>
      <c r="D4" s="1213" t="s">
        <v>831</v>
      </c>
      <c r="E4" s="1214"/>
      <c r="F4" s="1214"/>
      <c r="G4" s="1214"/>
      <c r="H4" s="1036" t="s">
        <v>825</v>
      </c>
      <c r="I4" s="1036"/>
      <c r="J4" s="1036"/>
      <c r="K4" s="1036"/>
      <c r="L4" s="1036" t="s">
        <v>823</v>
      </c>
      <c r="M4" s="1036"/>
      <c r="N4" s="1036"/>
      <c r="O4" s="1218"/>
    </row>
    <row r="5" spans="1:15" s="374" customFormat="1" x14ac:dyDescent="0.2">
      <c r="A5" s="417" t="s">
        <v>6</v>
      </c>
      <c r="B5" s="408" t="s">
        <v>7</v>
      </c>
      <c r="C5" s="391" t="s">
        <v>8</v>
      </c>
      <c r="D5" s="1118" t="s">
        <v>9</v>
      </c>
      <c r="E5" s="1114"/>
      <c r="F5" s="1114"/>
      <c r="G5" s="1114"/>
      <c r="H5" s="1114" t="s">
        <v>10</v>
      </c>
      <c r="I5" s="1114"/>
      <c r="J5" s="1114"/>
      <c r="K5" s="1114"/>
      <c r="L5" s="1114" t="s">
        <v>467</v>
      </c>
      <c r="M5" s="1114"/>
      <c r="N5" s="1114"/>
      <c r="O5" s="1115"/>
    </row>
    <row r="6" spans="1:15" s="331" customFormat="1" ht="33.6" customHeight="1" x14ac:dyDescent="0.2">
      <c r="A6" s="486" t="s">
        <v>64</v>
      </c>
      <c r="B6" s="491" t="s">
        <v>6</v>
      </c>
      <c r="C6" s="550" t="s">
        <v>559</v>
      </c>
      <c r="D6" s="1072">
        <f>G26</f>
        <v>0</v>
      </c>
      <c r="E6" s="1069"/>
      <c r="F6" s="1069"/>
      <c r="G6" s="1069"/>
      <c r="H6" s="1069">
        <f>$K$26</f>
        <v>0</v>
      </c>
      <c r="I6" s="1069"/>
      <c r="J6" s="1069"/>
      <c r="K6" s="1069"/>
      <c r="L6" s="1069">
        <f>$O$26</f>
        <v>0</v>
      </c>
      <c r="M6" s="1069"/>
      <c r="N6" s="1069"/>
      <c r="O6" s="1071"/>
    </row>
    <row r="7" spans="1:15" s="331" customFormat="1" ht="48" customHeight="1" x14ac:dyDescent="0.2">
      <c r="A7" s="452" t="s">
        <v>64</v>
      </c>
      <c r="B7" s="491" t="s">
        <v>7</v>
      </c>
      <c r="C7" s="528" t="s">
        <v>560</v>
      </c>
      <c r="D7" s="1073">
        <f>G38</f>
        <v>0</v>
      </c>
      <c r="E7" s="1002"/>
      <c r="F7" s="1002"/>
      <c r="G7" s="1002"/>
      <c r="H7" s="1002">
        <f>$K$38</f>
        <v>0</v>
      </c>
      <c r="I7" s="1002"/>
      <c r="J7" s="1002"/>
      <c r="K7" s="1002"/>
      <c r="L7" s="1002">
        <f>$O$38</f>
        <v>0</v>
      </c>
      <c r="M7" s="1002"/>
      <c r="N7" s="1002"/>
      <c r="O7" s="1003"/>
    </row>
    <row r="8" spans="1:15" s="331" customFormat="1" ht="34.9" customHeight="1" x14ac:dyDescent="0.2">
      <c r="A8" s="452" t="s">
        <v>64</v>
      </c>
      <c r="B8" s="491" t="s">
        <v>8</v>
      </c>
      <c r="C8" s="528" t="s">
        <v>561</v>
      </c>
      <c r="D8" s="1073">
        <f>F49</f>
        <v>20158</v>
      </c>
      <c r="E8" s="1002"/>
      <c r="F8" s="1002"/>
      <c r="G8" s="1002"/>
      <c r="H8" s="1002">
        <f>J49</f>
        <v>20158</v>
      </c>
      <c r="I8" s="1002"/>
      <c r="J8" s="1002"/>
      <c r="K8" s="1002"/>
      <c r="L8" s="1002">
        <f>N49</f>
        <v>20158</v>
      </c>
      <c r="M8" s="1002"/>
      <c r="N8" s="1002"/>
      <c r="O8" s="1003"/>
    </row>
    <row r="9" spans="1:15" s="331" customFormat="1" ht="54.75" customHeight="1" x14ac:dyDescent="0.2">
      <c r="A9" s="452" t="s">
        <v>64</v>
      </c>
      <c r="B9" s="491" t="s">
        <v>9</v>
      </c>
      <c r="C9" s="528" t="s">
        <v>562</v>
      </c>
      <c r="D9" s="1073">
        <f>G59</f>
        <v>0</v>
      </c>
      <c r="E9" s="1002"/>
      <c r="F9" s="1002"/>
      <c r="G9" s="1002"/>
      <c r="H9" s="1002">
        <f>$K$59</f>
        <v>0</v>
      </c>
      <c r="I9" s="1002"/>
      <c r="J9" s="1002"/>
      <c r="K9" s="1002"/>
      <c r="L9" s="1002">
        <f>$O$59</f>
        <v>0</v>
      </c>
      <c r="M9" s="1002"/>
      <c r="N9" s="1002"/>
      <c r="O9" s="1003"/>
    </row>
    <row r="10" spans="1:15" s="331" customFormat="1" ht="86.45" customHeight="1" x14ac:dyDescent="0.2">
      <c r="A10" s="452" t="s">
        <v>64</v>
      </c>
      <c r="B10" s="491" t="s">
        <v>10</v>
      </c>
      <c r="C10" s="528" t="s">
        <v>563</v>
      </c>
      <c r="D10" s="1073">
        <f>F69</f>
        <v>1041408.63</v>
      </c>
      <c r="E10" s="1002"/>
      <c r="F10" s="1002"/>
      <c r="G10" s="1002"/>
      <c r="H10" s="1002">
        <f>J69</f>
        <v>1040922</v>
      </c>
      <c r="I10" s="1002"/>
      <c r="J10" s="1002"/>
      <c r="K10" s="1002"/>
      <c r="L10" s="1002">
        <f>N69</f>
        <v>1040922</v>
      </c>
      <c r="M10" s="1002"/>
      <c r="N10" s="1002"/>
      <c r="O10" s="1003"/>
    </row>
    <row r="11" spans="1:15" s="331" customFormat="1" ht="27.75" customHeight="1" x14ac:dyDescent="0.2">
      <c r="A11" s="452" t="s">
        <v>64</v>
      </c>
      <c r="B11" s="491" t="s">
        <v>467</v>
      </c>
      <c r="C11" s="528" t="s">
        <v>564</v>
      </c>
      <c r="D11" s="1073">
        <f>F79</f>
        <v>114648</v>
      </c>
      <c r="E11" s="1002"/>
      <c r="F11" s="1002"/>
      <c r="G11" s="1002"/>
      <c r="H11" s="1002">
        <f>J79</f>
        <v>114648</v>
      </c>
      <c r="I11" s="1002"/>
      <c r="J11" s="1002"/>
      <c r="K11" s="1002"/>
      <c r="L11" s="1002">
        <f>N79</f>
        <v>114648</v>
      </c>
      <c r="M11" s="1002"/>
      <c r="N11" s="1002"/>
      <c r="O11" s="1003"/>
    </row>
    <row r="12" spans="1:15" s="331" customFormat="1" ht="27.75" customHeight="1" x14ac:dyDescent="0.2">
      <c r="A12" s="493" t="s">
        <v>64</v>
      </c>
      <c r="B12" s="502" t="s">
        <v>466</v>
      </c>
      <c r="C12" s="572" t="s">
        <v>565</v>
      </c>
      <c r="D12" s="1053">
        <f>F90</f>
        <v>0</v>
      </c>
      <c r="E12" s="1006"/>
      <c r="F12" s="1006"/>
      <c r="G12" s="1006"/>
      <c r="H12" s="1006">
        <f>J90</f>
        <v>0</v>
      </c>
      <c r="I12" s="1006"/>
      <c r="J12" s="1006"/>
      <c r="K12" s="1006"/>
      <c r="L12" s="1006">
        <f>N90</f>
        <v>0</v>
      </c>
      <c r="M12" s="1006"/>
      <c r="N12" s="1006"/>
      <c r="O12" s="1007"/>
    </row>
    <row r="13" spans="1:15" s="331" customFormat="1" ht="27.75" customHeight="1" x14ac:dyDescent="0.2">
      <c r="A13" s="457"/>
      <c r="B13" s="613"/>
      <c r="C13" s="573" t="s">
        <v>492</v>
      </c>
      <c r="D13" s="1054">
        <f>SUM(D6:G12)</f>
        <v>1176214.6299999999</v>
      </c>
      <c r="E13" s="1043"/>
      <c r="F13" s="1043"/>
      <c r="G13" s="1043"/>
      <c r="H13" s="1150">
        <f>SUM(H6:K12)</f>
        <v>1175728</v>
      </c>
      <c r="I13" s="1191"/>
      <c r="J13" s="1191"/>
      <c r="K13" s="1021"/>
      <c r="L13" s="1150">
        <f t="shared" ref="L13" si="0">SUM(L6:O12)</f>
        <v>1175728</v>
      </c>
      <c r="M13" s="1191"/>
      <c r="N13" s="1191"/>
      <c r="O13" s="1151"/>
    </row>
    <row r="14" spans="1:15" s="331" customFormat="1" ht="12" customHeight="1" x14ac:dyDescent="0.2">
      <c r="A14" s="577"/>
      <c r="B14" s="577"/>
    </row>
    <row r="15" spans="1:15" s="374" customFormat="1" ht="12" customHeight="1" x14ac:dyDescent="0.2">
      <c r="A15" s="577"/>
      <c r="B15" s="577"/>
    </row>
    <row r="16" spans="1:15" s="374" customFormat="1" ht="12" customHeight="1" x14ac:dyDescent="0.2">
      <c r="A16" s="577"/>
      <c r="B16" s="577"/>
    </row>
    <row r="17" spans="1:15" s="447" customFormat="1" ht="36" customHeight="1" x14ac:dyDescent="0.2">
      <c r="A17" s="1158" t="s">
        <v>566</v>
      </c>
      <c r="B17" s="1158"/>
      <c r="C17" s="1158"/>
      <c r="D17" s="1158"/>
      <c r="E17" s="1158"/>
      <c r="F17" s="1158"/>
      <c r="G17" s="1158"/>
      <c r="H17" s="1158"/>
      <c r="I17" s="1158"/>
      <c r="J17" s="1158"/>
      <c r="K17" s="1158"/>
      <c r="L17" s="1158"/>
      <c r="M17" s="1158"/>
      <c r="N17" s="1158"/>
      <c r="O17" s="1158"/>
    </row>
    <row r="18" spans="1:15" s="331" customFormat="1" x14ac:dyDescent="0.2">
      <c r="A18" s="348"/>
      <c r="B18" s="348"/>
    </row>
    <row r="19" spans="1:15" s="331" customFormat="1" ht="33.75" customHeight="1" x14ac:dyDescent="0.2">
      <c r="A19" s="1034" t="s">
        <v>484</v>
      </c>
      <c r="B19" s="1209" t="s">
        <v>550</v>
      </c>
      <c r="C19" s="1210"/>
      <c r="D19" s="1207" t="s">
        <v>831</v>
      </c>
      <c r="E19" s="1208"/>
      <c r="F19" s="1208"/>
      <c r="G19" s="1064"/>
      <c r="H19" s="1034" t="s">
        <v>825</v>
      </c>
      <c r="I19" s="1000"/>
      <c r="J19" s="1000"/>
      <c r="K19" s="1001"/>
      <c r="L19" s="999" t="s">
        <v>823</v>
      </c>
      <c r="M19" s="1000"/>
      <c r="N19" s="1000"/>
      <c r="O19" s="1001"/>
    </row>
    <row r="20" spans="1:15" s="331" customFormat="1" ht="89.25" x14ac:dyDescent="0.2">
      <c r="A20" s="1035"/>
      <c r="B20" s="1211"/>
      <c r="C20" s="1212"/>
      <c r="D20" s="498" t="s">
        <v>567</v>
      </c>
      <c r="E20" s="501" t="s">
        <v>568</v>
      </c>
      <c r="F20" s="501" t="s">
        <v>569</v>
      </c>
      <c r="G20" s="541" t="s">
        <v>553</v>
      </c>
      <c r="H20" s="498" t="s">
        <v>567</v>
      </c>
      <c r="I20" s="501" t="s">
        <v>570</v>
      </c>
      <c r="J20" s="501" t="s">
        <v>569</v>
      </c>
      <c r="K20" s="541" t="s">
        <v>553</v>
      </c>
      <c r="L20" s="568" t="s">
        <v>571</v>
      </c>
      <c r="M20" s="501" t="s">
        <v>570</v>
      </c>
      <c r="N20" s="501" t="s">
        <v>569</v>
      </c>
      <c r="O20" s="541" t="s">
        <v>553</v>
      </c>
    </row>
    <row r="21" spans="1:15" s="374" customFormat="1" ht="25.5" x14ac:dyDescent="0.2">
      <c r="A21" s="499" t="s">
        <v>6</v>
      </c>
      <c r="B21" s="1198" t="s">
        <v>7</v>
      </c>
      <c r="C21" s="1199"/>
      <c r="D21" s="499" t="s">
        <v>8</v>
      </c>
      <c r="E21" s="500" t="s">
        <v>9</v>
      </c>
      <c r="F21" s="500" t="s">
        <v>10</v>
      </c>
      <c r="G21" s="547" t="s">
        <v>572</v>
      </c>
      <c r="H21" s="499" t="s">
        <v>466</v>
      </c>
      <c r="I21" s="500" t="s">
        <v>465</v>
      </c>
      <c r="J21" s="500" t="s">
        <v>464</v>
      </c>
      <c r="K21" s="547" t="s">
        <v>573</v>
      </c>
      <c r="L21" s="576" t="s">
        <v>468</v>
      </c>
      <c r="M21" s="500" t="s">
        <v>469</v>
      </c>
      <c r="N21" s="500" t="s">
        <v>574</v>
      </c>
      <c r="O21" s="547" t="s">
        <v>575</v>
      </c>
    </row>
    <row r="22" spans="1:15" s="574" customFormat="1" ht="30" customHeight="1" x14ac:dyDescent="0.2">
      <c r="A22" s="475" t="s">
        <v>6</v>
      </c>
      <c r="B22" s="1200" t="s">
        <v>676</v>
      </c>
      <c r="C22" s="1201"/>
      <c r="D22" s="589"/>
      <c r="E22" s="582">
        <f>ROUNDDOWN(G22/500,0)</f>
        <v>0</v>
      </c>
      <c r="F22" s="689">
        <f>IFERROR(ROUND(G22/(D22*E22),2),0)</f>
        <v>0</v>
      </c>
      <c r="G22" s="692">
        <f>Титульный!E14+Титульный!E58+Титульный!E131+Титульный!E108</f>
        <v>0</v>
      </c>
      <c r="H22" s="589"/>
      <c r="I22" s="582">
        <f>ROUNDDOWN(K22/500,0)</f>
        <v>0</v>
      </c>
      <c r="J22" s="689">
        <f>IFERROR(ROUND(K22/(H22*I22),2),0)</f>
        <v>0</v>
      </c>
      <c r="K22" s="692">
        <f>Титульный!F14+Титульный!F58+Титульный!F131+Титульный!F108</f>
        <v>0</v>
      </c>
      <c r="L22" s="587"/>
      <c r="M22" s="582">
        <f>ROUNDDOWN(O22/500,0)</f>
        <v>0</v>
      </c>
      <c r="N22" s="689">
        <f>IFERROR(ROUND(O22/(L22*M22),2),0)</f>
        <v>0</v>
      </c>
      <c r="O22" s="692">
        <f>Титульный!G14+Титульный!G58+Титульный!G131+Титульный!G108</f>
        <v>0</v>
      </c>
    </row>
    <row r="23" spans="1:15" s="574" customFormat="1" ht="30" customHeight="1" x14ac:dyDescent="0.2">
      <c r="A23" s="452" t="s">
        <v>7</v>
      </c>
      <c r="B23" s="1192" t="s">
        <v>677</v>
      </c>
      <c r="C23" s="1193"/>
      <c r="D23" s="690"/>
      <c r="E23" s="691">
        <f>ROUNDUP(G23/4000,0)</f>
        <v>0</v>
      </c>
      <c r="F23" s="693">
        <f>IFERROR(ROUND(G23/(D23*E23),2),0)</f>
        <v>0</v>
      </c>
      <c r="G23" s="581">
        <f>Титульный!E15+Титульный!E59+Титульный!E134+Титульный!E109-G35</f>
        <v>0</v>
      </c>
      <c r="H23" s="690"/>
      <c r="I23" s="691">
        <f>ROUNDUP(K23/2000,0)</f>
        <v>0</v>
      </c>
      <c r="J23" s="580">
        <f>IFERROR(ROUND(K23/(H23*I23),2),0)</f>
        <v>0</v>
      </c>
      <c r="K23" s="581">
        <f>Титульный!F15+Титульный!F59+Титульный!F134+Титульный!F109-K35</f>
        <v>0</v>
      </c>
      <c r="L23" s="690"/>
      <c r="M23" s="691">
        <f>ROUNDUP(O23/2000,0)</f>
        <v>0</v>
      </c>
      <c r="N23" s="580">
        <f>IFERROR(ROUND(O23/(L23*M23),2),0)</f>
        <v>0</v>
      </c>
      <c r="O23" s="581">
        <f>Титульный!G15+Титульный!G59+Титульный!G134+Титульный!G109-O35</f>
        <v>0</v>
      </c>
    </row>
    <row r="24" spans="1:15" s="574" customFormat="1" ht="30" customHeight="1" x14ac:dyDescent="0.2">
      <c r="A24" s="452" t="s">
        <v>8</v>
      </c>
      <c r="B24" s="1192"/>
      <c r="C24" s="1193"/>
      <c r="D24" s="690"/>
      <c r="E24" s="691"/>
      <c r="F24" s="693"/>
      <c r="G24" s="581"/>
      <c r="H24" s="690"/>
      <c r="I24" s="691"/>
      <c r="J24" s="580"/>
      <c r="K24" s="581"/>
      <c r="L24" s="690"/>
      <c r="M24" s="691"/>
      <c r="N24" s="580"/>
      <c r="O24" s="581"/>
    </row>
    <row r="25" spans="1:15" s="574" customFormat="1" ht="30" customHeight="1" x14ac:dyDescent="0.2">
      <c r="A25" s="452" t="s">
        <v>9</v>
      </c>
      <c r="B25" s="1194"/>
      <c r="C25" s="1195"/>
      <c r="D25" s="590"/>
      <c r="E25" s="585"/>
      <c r="F25" s="750"/>
      <c r="G25" s="751"/>
      <c r="H25" s="590"/>
      <c r="I25" s="585"/>
      <c r="J25" s="750"/>
      <c r="K25" s="751"/>
      <c r="L25" s="588"/>
      <c r="M25" s="585"/>
      <c r="N25" s="750"/>
      <c r="O25" s="751"/>
    </row>
    <row r="26" spans="1:15" s="574" customFormat="1" ht="30" customHeight="1" x14ac:dyDescent="0.2">
      <c r="A26" s="616"/>
      <c r="B26" s="1188" t="s">
        <v>492</v>
      </c>
      <c r="C26" s="1202"/>
      <c r="D26" s="672" t="s">
        <v>462</v>
      </c>
      <c r="E26" s="673" t="s">
        <v>462</v>
      </c>
      <c r="F26" s="673" t="s">
        <v>462</v>
      </c>
      <c r="G26" s="599">
        <f>SUM(G22:G25)</f>
        <v>0</v>
      </c>
      <c r="H26" s="672" t="s">
        <v>462</v>
      </c>
      <c r="I26" s="673" t="s">
        <v>462</v>
      </c>
      <c r="J26" s="673" t="s">
        <v>462</v>
      </c>
      <c r="K26" s="599">
        <f>SUM(K22:K25)</f>
        <v>0</v>
      </c>
      <c r="L26" s="645" t="s">
        <v>462</v>
      </c>
      <c r="M26" s="673" t="s">
        <v>462</v>
      </c>
      <c r="N26" s="673" t="s">
        <v>462</v>
      </c>
      <c r="O26" s="599">
        <f>SUM(O22:O25)</f>
        <v>0</v>
      </c>
    </row>
    <row r="27" spans="1:15" s="331" customFormat="1" x14ac:dyDescent="0.2">
      <c r="A27" s="348"/>
      <c r="B27" s="348"/>
    </row>
    <row r="28" spans="1:15" s="571" customFormat="1" ht="12" customHeight="1" x14ac:dyDescent="0.2">
      <c r="A28" s="348"/>
      <c r="B28" s="348"/>
      <c r="C28" s="374"/>
      <c r="D28" s="374"/>
      <c r="E28" s="374"/>
      <c r="F28" s="374"/>
      <c r="G28" s="374"/>
      <c r="H28" s="374"/>
      <c r="I28" s="374"/>
      <c r="J28" s="374"/>
      <c r="K28" s="374"/>
      <c r="L28" s="374"/>
      <c r="M28" s="374"/>
      <c r="N28" s="374"/>
      <c r="O28" s="374"/>
    </row>
    <row r="29" spans="1:15" s="331" customFormat="1" x14ac:dyDescent="0.2">
      <c r="A29" s="348"/>
      <c r="B29" s="348"/>
      <c r="C29" s="374"/>
      <c r="D29" s="374"/>
      <c r="E29" s="374"/>
      <c r="F29" s="374"/>
      <c r="G29" s="374"/>
      <c r="H29" s="374"/>
      <c r="I29" s="374"/>
      <c r="J29" s="374"/>
      <c r="K29" s="374"/>
      <c r="L29" s="374"/>
      <c r="M29" s="374"/>
      <c r="N29" s="374"/>
      <c r="O29" s="374"/>
    </row>
    <row r="30" spans="1:15" s="374" customFormat="1" ht="36" customHeight="1" x14ac:dyDescent="0.2">
      <c r="A30" s="1158" t="s">
        <v>576</v>
      </c>
      <c r="B30" s="1158"/>
      <c r="C30" s="1158"/>
      <c r="D30" s="1158"/>
      <c r="E30" s="1158"/>
      <c r="F30" s="1158"/>
      <c r="G30" s="1158"/>
      <c r="H30" s="1158"/>
      <c r="I30" s="1158"/>
      <c r="J30" s="1158"/>
      <c r="K30" s="1158"/>
      <c r="L30" s="1158"/>
      <c r="M30" s="1158"/>
      <c r="N30" s="1158"/>
      <c r="O30" s="1158"/>
    </row>
    <row r="31" spans="1:15" s="331" customFormat="1" x14ac:dyDescent="0.2">
      <c r="A31" s="348"/>
      <c r="B31" s="348"/>
    </row>
    <row r="32" spans="1:15" s="374" customFormat="1" ht="33.75" customHeight="1" x14ac:dyDescent="0.2">
      <c r="A32" s="1034" t="s">
        <v>484</v>
      </c>
      <c r="B32" s="1169" t="s">
        <v>550</v>
      </c>
      <c r="C32" s="1170"/>
      <c r="D32" s="1207" t="s">
        <v>831</v>
      </c>
      <c r="E32" s="1208"/>
      <c r="F32" s="1208"/>
      <c r="G32" s="1064"/>
      <c r="H32" s="1034" t="s">
        <v>825</v>
      </c>
      <c r="I32" s="1000"/>
      <c r="J32" s="1000"/>
      <c r="K32" s="1001"/>
      <c r="L32" s="999" t="s">
        <v>823</v>
      </c>
      <c r="M32" s="1000"/>
      <c r="N32" s="1000"/>
      <c r="O32" s="1001"/>
    </row>
    <row r="33" spans="1:15" s="574" customFormat="1" ht="108.6" customHeight="1" x14ac:dyDescent="0.2">
      <c r="A33" s="1035"/>
      <c r="B33" s="1171"/>
      <c r="C33" s="1172"/>
      <c r="D33" s="389" t="s">
        <v>577</v>
      </c>
      <c r="E33" s="381" t="s">
        <v>578</v>
      </c>
      <c r="F33" s="381" t="s">
        <v>579</v>
      </c>
      <c r="G33" s="382" t="s">
        <v>553</v>
      </c>
      <c r="H33" s="389" t="s">
        <v>577</v>
      </c>
      <c r="I33" s="381" t="s">
        <v>578</v>
      </c>
      <c r="J33" s="381" t="s">
        <v>579</v>
      </c>
      <c r="K33" s="382" t="s">
        <v>553</v>
      </c>
      <c r="L33" s="575" t="s">
        <v>577</v>
      </c>
      <c r="M33" s="381" t="s">
        <v>578</v>
      </c>
      <c r="N33" s="381" t="s">
        <v>579</v>
      </c>
      <c r="O33" s="382" t="s">
        <v>553</v>
      </c>
    </row>
    <row r="34" spans="1:15" s="574" customFormat="1" ht="27.75" customHeight="1" x14ac:dyDescent="0.2">
      <c r="A34" s="438" t="s">
        <v>6</v>
      </c>
      <c r="B34" s="1196" t="s">
        <v>7</v>
      </c>
      <c r="C34" s="1197"/>
      <c r="D34" s="438" t="s">
        <v>8</v>
      </c>
      <c r="E34" s="439" t="s">
        <v>9</v>
      </c>
      <c r="F34" s="439" t="s">
        <v>10</v>
      </c>
      <c r="G34" s="443" t="s">
        <v>572</v>
      </c>
      <c r="H34" s="438" t="s">
        <v>466</v>
      </c>
      <c r="I34" s="439" t="s">
        <v>465</v>
      </c>
      <c r="J34" s="439" t="s">
        <v>464</v>
      </c>
      <c r="K34" s="443" t="s">
        <v>573</v>
      </c>
      <c r="L34" s="441" t="s">
        <v>468</v>
      </c>
      <c r="M34" s="439" t="s">
        <v>469</v>
      </c>
      <c r="N34" s="439" t="s">
        <v>574</v>
      </c>
      <c r="O34" s="443" t="s">
        <v>575</v>
      </c>
    </row>
    <row r="35" spans="1:15" s="574" customFormat="1" ht="30" customHeight="1" x14ac:dyDescent="0.2">
      <c r="A35" s="475" t="s">
        <v>6</v>
      </c>
      <c r="B35" s="1184" t="s">
        <v>678</v>
      </c>
      <c r="C35" s="1185"/>
      <c r="D35" s="589"/>
      <c r="E35" s="582">
        <f>ROUNDDOWN(G35/3000,0)</f>
        <v>0</v>
      </c>
      <c r="F35" s="582">
        <f>IFERROR(ROUND(G35/(D35*E35),2),0)</f>
        <v>0</v>
      </c>
      <c r="G35" s="642">
        <f>IF((Титульный!E15+Титульный!E59+Титульный!E134+Титульный!E109)&gt;10000,
(Титульный!E15+Титульный!E59+Титульный!E134+Титульный!E109)*0.6,
Титульный!E15+Титульный!E59+Титульный!E134+Титульный!E109)</f>
        <v>0</v>
      </c>
      <c r="H35" s="589"/>
      <c r="I35" s="582">
        <f>ROUNDDOWN(K35/3000,0)</f>
        <v>0</v>
      </c>
      <c r="J35" s="582">
        <f>IFERROR(ROUND(K35/(H35*I35),2),0)</f>
        <v>0</v>
      </c>
      <c r="K35" s="642">
        <f>IF((Титульный!F15+Титульный!F59+Титульный!F134+Титульный!F109)&gt;10000,
(Титульный!F15+Титульный!F59+Титульный!F134+Титульный!F109)*0.6,
Титульный!F15+Титульный!F59+Титульный!F134+Титульный!F109)</f>
        <v>0</v>
      </c>
      <c r="L35" s="587"/>
      <c r="M35" s="582">
        <f>ROUNDDOWN(O35/3000,0)</f>
        <v>0</v>
      </c>
      <c r="N35" s="582">
        <f>IFERROR(ROUND(O35/(L35*M35),2),0)</f>
        <v>0</v>
      </c>
      <c r="O35" s="642">
        <f>IF((Титульный!G15+Титульный!G59+Титульный!G134+Титульный!G109)&gt;10000,
(Титульный!G15+Титульный!G59+Титульный!G134+Титульный!G109)*0.6,
Титульный!G15+Титульный!G59+Титульный!G134+Титульный!G109)</f>
        <v>0</v>
      </c>
    </row>
    <row r="36" spans="1:15" s="574" customFormat="1" ht="30" customHeight="1" x14ac:dyDescent="0.2">
      <c r="A36" s="452">
        <v>2</v>
      </c>
      <c r="B36" s="1186"/>
      <c r="C36" s="1187"/>
      <c r="D36" s="465"/>
      <c r="E36" s="464"/>
      <c r="F36" s="464"/>
      <c r="G36" s="466"/>
      <c r="H36" s="465"/>
      <c r="I36" s="464"/>
      <c r="J36" s="464"/>
      <c r="K36" s="466"/>
      <c r="L36" s="463"/>
      <c r="M36" s="464"/>
      <c r="N36" s="464"/>
      <c r="O36" s="466"/>
    </row>
    <row r="37" spans="1:15" s="331" customFormat="1" ht="30" customHeight="1" x14ac:dyDescent="0.2">
      <c r="A37" s="493">
        <v>3</v>
      </c>
      <c r="B37" s="1205"/>
      <c r="C37" s="1206"/>
      <c r="D37" s="590"/>
      <c r="E37" s="585"/>
      <c r="F37" s="585"/>
      <c r="G37" s="643"/>
      <c r="H37" s="590"/>
      <c r="I37" s="585"/>
      <c r="J37" s="585"/>
      <c r="K37" s="643"/>
      <c r="L37" s="588"/>
      <c r="M37" s="585"/>
      <c r="N37" s="585"/>
      <c r="O37" s="643"/>
    </row>
    <row r="38" spans="1:15" s="571" customFormat="1" ht="30" customHeight="1" x14ac:dyDescent="0.2">
      <c r="A38" s="457"/>
      <c r="B38" s="1188" t="s">
        <v>492</v>
      </c>
      <c r="C38" s="1189"/>
      <c r="D38" s="519" t="s">
        <v>462</v>
      </c>
      <c r="E38" s="520" t="s">
        <v>462</v>
      </c>
      <c r="F38" s="520" t="s">
        <v>462</v>
      </c>
      <c r="G38" s="644">
        <f>SUM(G35:G37)</f>
        <v>0</v>
      </c>
      <c r="H38" s="519" t="s">
        <v>462</v>
      </c>
      <c r="I38" s="520" t="s">
        <v>462</v>
      </c>
      <c r="J38" s="520" t="s">
        <v>462</v>
      </c>
      <c r="K38" s="644">
        <f>SUM(K35:K37)</f>
        <v>0</v>
      </c>
      <c r="L38" s="521" t="s">
        <v>462</v>
      </c>
      <c r="M38" s="520" t="s">
        <v>462</v>
      </c>
      <c r="N38" s="520" t="s">
        <v>462</v>
      </c>
      <c r="O38" s="644">
        <f>SUM(O35:O37)</f>
        <v>0</v>
      </c>
    </row>
    <row r="39" spans="1:15" s="331" customFormat="1" x14ac:dyDescent="0.2">
      <c r="A39" s="348"/>
      <c r="B39" s="348"/>
    </row>
    <row r="40" spans="1:15" s="331" customFormat="1" ht="12" customHeight="1" x14ac:dyDescent="0.2">
      <c r="A40" s="348"/>
      <c r="B40" s="348"/>
      <c r="C40" s="374"/>
      <c r="D40" s="374"/>
      <c r="E40" s="374"/>
      <c r="F40" s="374"/>
      <c r="G40" s="374"/>
      <c r="H40" s="374"/>
      <c r="I40" s="374"/>
      <c r="J40" s="374"/>
      <c r="K40" s="374"/>
      <c r="L40" s="374"/>
      <c r="M40" s="374"/>
      <c r="N40" s="374"/>
      <c r="O40" s="374"/>
    </row>
    <row r="41" spans="1:15" s="331" customFormat="1" x14ac:dyDescent="0.2">
      <c r="A41" s="348"/>
      <c r="B41" s="348"/>
      <c r="C41" s="374"/>
      <c r="D41" s="374"/>
      <c r="E41" s="374"/>
      <c r="F41" s="374"/>
      <c r="G41" s="374"/>
      <c r="H41" s="374"/>
      <c r="I41" s="374"/>
      <c r="J41" s="374"/>
      <c r="K41" s="374"/>
      <c r="L41" s="374"/>
      <c r="M41" s="374"/>
      <c r="N41" s="374"/>
      <c r="O41" s="374"/>
    </row>
    <row r="42" spans="1:15" s="333" customFormat="1" ht="36" customHeight="1" x14ac:dyDescent="0.2">
      <c r="A42" s="1158" t="s">
        <v>580</v>
      </c>
      <c r="B42" s="1158"/>
      <c r="C42" s="1158"/>
      <c r="D42" s="1158"/>
      <c r="E42" s="1158"/>
      <c r="F42" s="1158"/>
      <c r="G42" s="1158"/>
      <c r="H42" s="1158"/>
      <c r="I42" s="1158"/>
      <c r="J42" s="1158"/>
      <c r="K42" s="1158"/>
      <c r="L42" s="1158"/>
      <c r="M42" s="1158"/>
      <c r="N42" s="1158"/>
      <c r="O42" s="1158"/>
    </row>
    <row r="43" spans="1:15" s="331" customFormat="1" ht="12" customHeight="1" x14ac:dyDescent="0.2">
      <c r="A43" s="348"/>
      <c r="B43" s="348"/>
    </row>
    <row r="44" spans="1:15" s="331" customFormat="1" ht="34.5" customHeight="1" x14ac:dyDescent="0.2">
      <c r="A44" s="1034" t="s">
        <v>484</v>
      </c>
      <c r="B44" s="1169" t="s">
        <v>550</v>
      </c>
      <c r="C44" s="1170"/>
      <c r="D44" s="1176" t="s">
        <v>831</v>
      </c>
      <c r="E44" s="1177"/>
      <c r="F44" s="1177"/>
      <c r="G44" s="1178"/>
      <c r="H44" s="1179" t="s">
        <v>825</v>
      </c>
      <c r="I44" s="1180"/>
      <c r="J44" s="1180"/>
      <c r="K44" s="1181"/>
      <c r="L44" s="1190" t="s">
        <v>823</v>
      </c>
      <c r="M44" s="1180"/>
      <c r="N44" s="1180"/>
      <c r="O44" s="1181"/>
    </row>
    <row r="45" spans="1:15" s="374" customFormat="1" ht="80.25" customHeight="1" x14ac:dyDescent="0.2">
      <c r="A45" s="1035"/>
      <c r="B45" s="1171"/>
      <c r="C45" s="1172"/>
      <c r="D45" s="498" t="s">
        <v>581</v>
      </c>
      <c r="E45" s="501" t="s">
        <v>582</v>
      </c>
      <c r="F45" s="1173" t="s">
        <v>553</v>
      </c>
      <c r="G45" s="1174"/>
      <c r="H45" s="498" t="s">
        <v>577</v>
      </c>
      <c r="I45" s="501" t="s">
        <v>582</v>
      </c>
      <c r="J45" s="1173" t="s">
        <v>583</v>
      </c>
      <c r="K45" s="1174"/>
      <c r="L45" s="568" t="s">
        <v>577</v>
      </c>
      <c r="M45" s="501" t="s">
        <v>582</v>
      </c>
      <c r="N45" s="1173" t="s">
        <v>553</v>
      </c>
      <c r="O45" s="1174"/>
    </row>
    <row r="46" spans="1:15" s="331" customFormat="1" x14ac:dyDescent="0.2">
      <c r="A46" s="417" t="s">
        <v>6</v>
      </c>
      <c r="B46" s="1114" t="s">
        <v>7</v>
      </c>
      <c r="C46" s="1164"/>
      <c r="D46" s="383" t="s">
        <v>8</v>
      </c>
      <c r="E46" s="384" t="s">
        <v>9</v>
      </c>
      <c r="F46" s="1114" t="s">
        <v>584</v>
      </c>
      <c r="G46" s="1115"/>
      <c r="H46" s="383" t="s">
        <v>467</v>
      </c>
      <c r="I46" s="384" t="s">
        <v>466</v>
      </c>
      <c r="J46" s="1165" t="s">
        <v>585</v>
      </c>
      <c r="K46" s="1166"/>
      <c r="L46" s="392" t="s">
        <v>464</v>
      </c>
      <c r="M46" s="384" t="s">
        <v>463</v>
      </c>
      <c r="N46" s="1165" t="s">
        <v>586</v>
      </c>
      <c r="O46" s="1166"/>
    </row>
    <row r="47" spans="1:15" s="374" customFormat="1" ht="27.75" customHeight="1" x14ac:dyDescent="0.2">
      <c r="A47" s="486" t="s">
        <v>6</v>
      </c>
      <c r="B47" s="1167" t="s">
        <v>673</v>
      </c>
      <c r="C47" s="1168"/>
      <c r="D47" s="646">
        <f>ROUNDUP(F47/600,0)</f>
        <v>0</v>
      </c>
      <c r="E47" s="655">
        <f>IFERROR(ROUND(F47/D47,2),0)</f>
        <v>0</v>
      </c>
      <c r="F47" s="1069">
        <f>Титульный!E16+Титульный!E60</f>
        <v>0</v>
      </c>
      <c r="G47" s="1071"/>
      <c r="H47" s="646">
        <f>ROUNDUP(J47/600,0)</f>
        <v>0</v>
      </c>
      <c r="I47" s="655">
        <f>IFERROR(ROUND(J47/H47,2),0)</f>
        <v>0</v>
      </c>
      <c r="J47" s="1069">
        <f>Титульный!F16+Титульный!F60</f>
        <v>0</v>
      </c>
      <c r="K47" s="1071"/>
      <c r="L47" s="649">
        <f>ROUNDUP(N47/600,0)</f>
        <v>0</v>
      </c>
      <c r="M47" s="655">
        <f>IFERROR(ROUND(N47/L47,2),0)</f>
        <v>0</v>
      </c>
      <c r="N47" s="1069">
        <f>Титульный!G16+Титульный!G60</f>
        <v>0</v>
      </c>
      <c r="O47" s="1071"/>
    </row>
    <row r="48" spans="1:15" s="374" customFormat="1" ht="27.75" customHeight="1" x14ac:dyDescent="0.2">
      <c r="A48" s="456">
        <v>2</v>
      </c>
      <c r="B48" s="1182" t="s">
        <v>262</v>
      </c>
      <c r="C48" s="1183"/>
      <c r="D48" s="469">
        <f>ROUNDUP(F48/3900,0)</f>
        <v>6</v>
      </c>
      <c r="E48" s="665">
        <f>IFERROR(ROUND(F48/D48,2),0)</f>
        <v>3359.67</v>
      </c>
      <c r="F48" s="1070">
        <f>Титульный!E17+Титульный!E62+Титульный!E61</f>
        <v>20158</v>
      </c>
      <c r="G48" s="1075"/>
      <c r="H48" s="469">
        <f>ROUNDUP(J48/3900,0)</f>
        <v>6</v>
      </c>
      <c r="I48" s="665">
        <f>IFERROR(ROUND(J48/H48,2),0)</f>
        <v>3359.67</v>
      </c>
      <c r="J48" s="1070">
        <f>Титульный!F17+Титульный!F62+Титульный!F61</f>
        <v>20158</v>
      </c>
      <c r="K48" s="1075"/>
      <c r="L48" s="467">
        <f>ROUNDUP(N48/3900,0)</f>
        <v>6</v>
      </c>
      <c r="M48" s="665">
        <f>IFERROR(ROUND(N48/L48,2),0)</f>
        <v>3359.67</v>
      </c>
      <c r="N48" s="1070">
        <f>Титульный!G17+Титульный!G62+Титульный!G61</f>
        <v>20158</v>
      </c>
      <c r="O48" s="1075"/>
    </row>
    <row r="49" spans="1:15" s="571" customFormat="1" ht="27.75" customHeight="1" x14ac:dyDescent="0.2">
      <c r="A49" s="440"/>
      <c r="B49" s="1156" t="s">
        <v>492</v>
      </c>
      <c r="C49" s="1157"/>
      <c r="D49" s="512" t="s">
        <v>462</v>
      </c>
      <c r="E49" s="511" t="s">
        <v>462</v>
      </c>
      <c r="F49" s="1008">
        <f>SUM(F47:G48)</f>
        <v>20158</v>
      </c>
      <c r="G49" s="1009"/>
      <c r="H49" s="512" t="s">
        <v>462</v>
      </c>
      <c r="I49" s="511" t="s">
        <v>462</v>
      </c>
      <c r="J49" s="1008">
        <f>SUM(J47:K48)</f>
        <v>20158</v>
      </c>
      <c r="K49" s="1009"/>
      <c r="L49" s="510" t="s">
        <v>462</v>
      </c>
      <c r="M49" s="511" t="s">
        <v>462</v>
      </c>
      <c r="N49" s="1008">
        <f>SUM(N47:O48)</f>
        <v>20158</v>
      </c>
      <c r="O49" s="1009"/>
    </row>
    <row r="50" spans="1:15" s="331" customFormat="1" ht="13.5" customHeight="1" x14ac:dyDescent="0.2">
      <c r="A50" s="348"/>
      <c r="B50" s="348"/>
    </row>
    <row r="51" spans="1:15" s="374" customFormat="1" ht="12" customHeight="1" x14ac:dyDescent="0.2">
      <c r="A51" s="348"/>
      <c r="B51" s="348"/>
    </row>
    <row r="52" spans="1:15" s="331" customFormat="1" ht="12" customHeight="1" x14ac:dyDescent="0.2">
      <c r="A52" s="348"/>
      <c r="B52" s="348"/>
      <c r="C52" s="374"/>
      <c r="D52" s="374"/>
      <c r="E52" s="374"/>
      <c r="F52" s="374"/>
      <c r="G52" s="374"/>
      <c r="H52" s="374"/>
      <c r="I52" s="374"/>
      <c r="J52" s="374"/>
      <c r="K52" s="374"/>
      <c r="L52" s="374"/>
      <c r="M52" s="374"/>
      <c r="N52" s="374"/>
      <c r="O52" s="374"/>
    </row>
    <row r="53" spans="1:15" s="333" customFormat="1" ht="36" customHeight="1" x14ac:dyDescent="0.2">
      <c r="A53" s="1158" t="s">
        <v>587</v>
      </c>
      <c r="B53" s="1158"/>
      <c r="C53" s="1158"/>
      <c r="D53" s="1158"/>
      <c r="E53" s="1158"/>
      <c r="F53" s="1158"/>
      <c r="G53" s="1158"/>
      <c r="H53" s="1158"/>
      <c r="I53" s="1158"/>
      <c r="J53" s="1158"/>
      <c r="K53" s="1158"/>
      <c r="L53" s="1158"/>
      <c r="M53" s="1158"/>
      <c r="N53" s="1158"/>
      <c r="O53" s="1158"/>
    </row>
    <row r="54" spans="1:15" s="331" customFormat="1" ht="12" customHeight="1" x14ac:dyDescent="0.2">
      <c r="A54" s="348"/>
      <c r="B54" s="348"/>
    </row>
    <row r="55" spans="1:15" s="331" customFormat="1" ht="34.5" customHeight="1" x14ac:dyDescent="0.2">
      <c r="A55" s="1034" t="s">
        <v>484</v>
      </c>
      <c r="B55" s="1169" t="s">
        <v>550</v>
      </c>
      <c r="C55" s="1080"/>
      <c r="D55" s="1176" t="s">
        <v>831</v>
      </c>
      <c r="E55" s="1177"/>
      <c r="F55" s="1177"/>
      <c r="G55" s="1178"/>
      <c r="H55" s="1179" t="s">
        <v>825</v>
      </c>
      <c r="I55" s="1180"/>
      <c r="J55" s="1180"/>
      <c r="K55" s="1181"/>
      <c r="L55" s="1190" t="s">
        <v>823</v>
      </c>
      <c r="M55" s="1180"/>
      <c r="N55" s="1180"/>
      <c r="O55" s="1181"/>
    </row>
    <row r="56" spans="1:15" s="331" customFormat="1" ht="51" x14ac:dyDescent="0.2">
      <c r="A56" s="1035"/>
      <c r="B56" s="1175"/>
      <c r="C56" s="1081"/>
      <c r="D56" s="385" t="s">
        <v>581</v>
      </c>
      <c r="E56" s="386" t="s">
        <v>588</v>
      </c>
      <c r="F56" s="386" t="s">
        <v>589</v>
      </c>
      <c r="G56" s="380" t="s">
        <v>553</v>
      </c>
      <c r="H56" s="385" t="s">
        <v>581</v>
      </c>
      <c r="I56" s="386" t="s">
        <v>588</v>
      </c>
      <c r="J56" s="386" t="s">
        <v>589</v>
      </c>
      <c r="K56" s="380" t="s">
        <v>553</v>
      </c>
      <c r="L56" s="385" t="s">
        <v>581</v>
      </c>
      <c r="M56" s="386" t="s">
        <v>588</v>
      </c>
      <c r="N56" s="386" t="s">
        <v>589</v>
      </c>
      <c r="O56" s="380" t="s">
        <v>553</v>
      </c>
    </row>
    <row r="57" spans="1:15" s="374" customFormat="1" x14ac:dyDescent="0.2">
      <c r="A57" s="417" t="s">
        <v>6</v>
      </c>
      <c r="B57" s="1114" t="s">
        <v>7</v>
      </c>
      <c r="C57" s="1115"/>
      <c r="D57" s="383" t="s">
        <v>8</v>
      </c>
      <c r="E57" s="384" t="s">
        <v>9</v>
      </c>
      <c r="F57" s="384" t="s">
        <v>10</v>
      </c>
      <c r="G57" s="391" t="s">
        <v>572</v>
      </c>
      <c r="H57" s="383" t="s">
        <v>466</v>
      </c>
      <c r="I57" s="384" t="s">
        <v>465</v>
      </c>
      <c r="J57" s="384" t="s">
        <v>464</v>
      </c>
      <c r="K57" s="391" t="s">
        <v>573</v>
      </c>
      <c r="L57" s="383" t="s">
        <v>468</v>
      </c>
      <c r="M57" s="384" t="s">
        <v>469</v>
      </c>
      <c r="N57" s="384" t="s">
        <v>574</v>
      </c>
      <c r="O57" s="391" t="s">
        <v>575</v>
      </c>
    </row>
    <row r="58" spans="1:15" s="374" customFormat="1" ht="27.75" customHeight="1" x14ac:dyDescent="0.2">
      <c r="A58" s="456" t="s">
        <v>6</v>
      </c>
      <c r="B58" s="1182" t="s">
        <v>675</v>
      </c>
      <c r="C58" s="1183"/>
      <c r="D58" s="469">
        <f>ROUNDUP(G58/F58/12,0)</f>
        <v>0</v>
      </c>
      <c r="E58" s="665">
        <f>IFERROR(ROUND(G58/F58/D58,2),0)</f>
        <v>0</v>
      </c>
      <c r="F58" s="651">
        <v>75</v>
      </c>
      <c r="G58" s="652">
        <f>Титульный!E135</f>
        <v>0</v>
      </c>
      <c r="H58" s="469">
        <f>ROUNDUP(K58/J58/12,0)</f>
        <v>0</v>
      </c>
      <c r="I58" s="665">
        <f>IFERROR(ROUND(K58/J58/H58,2),0)</f>
        <v>0</v>
      </c>
      <c r="J58" s="651">
        <v>75</v>
      </c>
      <c r="K58" s="652">
        <f>Титульный!F135</f>
        <v>0</v>
      </c>
      <c r="L58" s="467">
        <f>ROUNDUP(O58/N58/12,0)</f>
        <v>0</v>
      </c>
      <c r="M58" s="665">
        <f>IFERROR(ROUND(O58/N58/L58,2),0)</f>
        <v>0</v>
      </c>
      <c r="N58" s="651">
        <v>75</v>
      </c>
      <c r="O58" s="652">
        <f>Титульный!G135</f>
        <v>0</v>
      </c>
    </row>
    <row r="59" spans="1:15" s="571" customFormat="1" ht="27.75" customHeight="1" x14ac:dyDescent="0.2">
      <c r="A59" s="440"/>
      <c r="B59" s="1156" t="s">
        <v>492</v>
      </c>
      <c r="C59" s="1157"/>
      <c r="D59" s="512" t="s">
        <v>462</v>
      </c>
      <c r="E59" s="511" t="s">
        <v>462</v>
      </c>
      <c r="F59" s="669" t="s">
        <v>462</v>
      </c>
      <c r="G59" s="670">
        <f>G58</f>
        <v>0</v>
      </c>
      <c r="H59" s="512" t="s">
        <v>462</v>
      </c>
      <c r="I59" s="511" t="s">
        <v>462</v>
      </c>
      <c r="J59" s="669" t="s">
        <v>462</v>
      </c>
      <c r="K59" s="670">
        <f>K58</f>
        <v>0</v>
      </c>
      <c r="L59" s="510" t="s">
        <v>462</v>
      </c>
      <c r="M59" s="511" t="s">
        <v>462</v>
      </c>
      <c r="N59" s="669" t="s">
        <v>462</v>
      </c>
      <c r="O59" s="670">
        <f>O58</f>
        <v>0</v>
      </c>
    </row>
    <row r="60" spans="1:15" s="331" customFormat="1" ht="12" customHeight="1" x14ac:dyDescent="0.2">
      <c r="A60" s="348"/>
      <c r="B60" s="348"/>
    </row>
    <row r="61" spans="1:15" s="374" customFormat="1" ht="12" customHeight="1" x14ac:dyDescent="0.2">
      <c r="A61" s="348"/>
      <c r="B61" s="348"/>
    </row>
    <row r="62" spans="1:15" s="374" customFormat="1" x14ac:dyDescent="0.2">
      <c r="A62" s="348"/>
      <c r="B62" s="348"/>
    </row>
    <row r="63" spans="1:15" s="333" customFormat="1" ht="36" customHeight="1" x14ac:dyDescent="0.2">
      <c r="A63" s="1158" t="s">
        <v>590</v>
      </c>
      <c r="B63" s="1158"/>
      <c r="C63" s="1158"/>
      <c r="D63" s="1158"/>
      <c r="E63" s="1158"/>
      <c r="F63" s="1158"/>
      <c r="G63" s="1158"/>
      <c r="H63" s="1158"/>
      <c r="I63" s="1158"/>
      <c r="J63" s="1158"/>
      <c r="K63" s="1158"/>
      <c r="L63" s="1158"/>
      <c r="M63" s="1158"/>
      <c r="N63" s="1158"/>
      <c r="O63" s="1158"/>
    </row>
    <row r="64" spans="1:15" s="374" customFormat="1" ht="12" customHeight="1" x14ac:dyDescent="0.2">
      <c r="A64" s="578"/>
      <c r="B64" s="578"/>
      <c r="C64" s="346"/>
      <c r="D64" s="346"/>
      <c r="E64" s="346"/>
      <c r="F64" s="346"/>
      <c r="G64" s="346"/>
      <c r="H64" s="346"/>
      <c r="I64" s="346"/>
      <c r="J64" s="346"/>
      <c r="K64" s="346"/>
      <c r="L64" s="346"/>
      <c r="M64" s="346"/>
      <c r="N64" s="346"/>
      <c r="O64" s="346"/>
    </row>
    <row r="65" spans="1:15" s="331" customFormat="1" ht="34.5" customHeight="1" x14ac:dyDescent="0.2">
      <c r="A65" s="1034" t="s">
        <v>484</v>
      </c>
      <c r="B65" s="1169" t="s">
        <v>550</v>
      </c>
      <c r="C65" s="1170"/>
      <c r="D65" s="1176" t="s">
        <v>831</v>
      </c>
      <c r="E65" s="1177"/>
      <c r="F65" s="1177"/>
      <c r="G65" s="1178"/>
      <c r="H65" s="1179" t="s">
        <v>825</v>
      </c>
      <c r="I65" s="1180"/>
      <c r="J65" s="1180"/>
      <c r="K65" s="1181"/>
      <c r="L65" s="1190" t="s">
        <v>823</v>
      </c>
      <c r="M65" s="1180"/>
      <c r="N65" s="1180"/>
      <c r="O65" s="1181"/>
    </row>
    <row r="66" spans="1:15" s="374" customFormat="1" ht="69" customHeight="1" x14ac:dyDescent="0.2">
      <c r="A66" s="1035"/>
      <c r="B66" s="1171"/>
      <c r="C66" s="1172"/>
      <c r="D66" s="399" t="s">
        <v>581</v>
      </c>
      <c r="E66" s="401" t="s">
        <v>591</v>
      </c>
      <c r="F66" s="1203" t="s">
        <v>553</v>
      </c>
      <c r="G66" s="1204"/>
      <c r="H66" s="399" t="s">
        <v>581</v>
      </c>
      <c r="I66" s="401" t="s">
        <v>591</v>
      </c>
      <c r="J66" s="1203" t="s">
        <v>583</v>
      </c>
      <c r="K66" s="1204"/>
      <c r="L66" s="399" t="s">
        <v>581</v>
      </c>
      <c r="M66" s="401" t="s">
        <v>591</v>
      </c>
      <c r="N66" s="1203" t="s">
        <v>553</v>
      </c>
      <c r="O66" s="1204"/>
    </row>
    <row r="67" spans="1:15" s="374" customFormat="1" ht="17.25" customHeight="1" x14ac:dyDescent="0.2">
      <c r="A67" s="417" t="s">
        <v>6</v>
      </c>
      <c r="B67" s="1114" t="s">
        <v>7</v>
      </c>
      <c r="C67" s="1164"/>
      <c r="D67" s="383" t="s">
        <v>8</v>
      </c>
      <c r="E67" s="384" t="s">
        <v>9</v>
      </c>
      <c r="F67" s="1114" t="s">
        <v>584</v>
      </c>
      <c r="G67" s="1115"/>
      <c r="H67" s="383" t="s">
        <v>467</v>
      </c>
      <c r="I67" s="384" t="s">
        <v>466</v>
      </c>
      <c r="J67" s="1165" t="s">
        <v>585</v>
      </c>
      <c r="K67" s="1166"/>
      <c r="L67" s="383" t="s">
        <v>464</v>
      </c>
      <c r="M67" s="384" t="s">
        <v>463</v>
      </c>
      <c r="N67" s="1165" t="s">
        <v>586</v>
      </c>
      <c r="O67" s="1166"/>
    </row>
    <row r="68" spans="1:15" s="331" customFormat="1" ht="48" customHeight="1" x14ac:dyDescent="0.2">
      <c r="A68" s="486" t="s">
        <v>6</v>
      </c>
      <c r="B68" s="1167" t="s">
        <v>674</v>
      </c>
      <c r="C68" s="1168"/>
      <c r="D68" s="646">
        <f>ROUND('Расходы 111'!D16/2,0)</f>
        <v>40</v>
      </c>
      <c r="E68" s="655">
        <f>ROUND(F68/D68,2)</f>
        <v>26035.22</v>
      </c>
      <c r="F68" s="1069">
        <f>Титульный!E133</f>
        <v>1041408.63</v>
      </c>
      <c r="G68" s="1071"/>
      <c r="H68" s="646">
        <f>ROUND('Расходы 111'!D27/2,0)</f>
        <v>40</v>
      </c>
      <c r="I68" s="655">
        <f>ROUND(J68/H68,2)</f>
        <v>26023.05</v>
      </c>
      <c r="J68" s="1069">
        <f>Титульный!F133</f>
        <v>1040922</v>
      </c>
      <c r="K68" s="1071"/>
      <c r="L68" s="649">
        <f>ROUND('Расходы 111'!D38/2,0)</f>
        <v>40</v>
      </c>
      <c r="M68" s="655">
        <f>ROUND(N68/L68,2)</f>
        <v>26023.05</v>
      </c>
      <c r="N68" s="1069">
        <f>Титульный!G133</f>
        <v>1040922</v>
      </c>
      <c r="O68" s="1071"/>
    </row>
    <row r="69" spans="1:15" s="571" customFormat="1" ht="27.75" customHeight="1" x14ac:dyDescent="0.2">
      <c r="A69" s="440"/>
      <c r="B69" s="1156" t="s">
        <v>492</v>
      </c>
      <c r="C69" s="1157"/>
      <c r="D69" s="512" t="s">
        <v>462</v>
      </c>
      <c r="E69" s="511" t="s">
        <v>462</v>
      </c>
      <c r="F69" s="1008">
        <f>F68</f>
        <v>1041408.63</v>
      </c>
      <c r="G69" s="1009"/>
      <c r="H69" s="512" t="s">
        <v>462</v>
      </c>
      <c r="I69" s="511" t="s">
        <v>462</v>
      </c>
      <c r="J69" s="1008">
        <f>J68</f>
        <v>1040922</v>
      </c>
      <c r="K69" s="1009"/>
      <c r="L69" s="510" t="s">
        <v>462</v>
      </c>
      <c r="M69" s="511" t="s">
        <v>462</v>
      </c>
      <c r="N69" s="1008">
        <f>N68</f>
        <v>1040922</v>
      </c>
      <c r="O69" s="1009"/>
    </row>
    <row r="70" spans="1:15" s="331" customFormat="1" ht="12" customHeight="1" x14ac:dyDescent="0.2">
      <c r="A70" s="578"/>
      <c r="B70" s="578"/>
      <c r="C70" s="375"/>
      <c r="D70" s="375"/>
      <c r="E70" s="375"/>
      <c r="F70" s="375"/>
      <c r="G70" s="375"/>
      <c r="H70" s="375"/>
      <c r="I70" s="375"/>
      <c r="J70" s="375"/>
      <c r="K70" s="375"/>
      <c r="L70" s="375"/>
      <c r="M70" s="375"/>
      <c r="N70" s="375"/>
      <c r="O70" s="375"/>
    </row>
    <row r="71" spans="1:15" s="374" customFormat="1" ht="12" customHeight="1" x14ac:dyDescent="0.2">
      <c r="A71" s="578"/>
      <c r="B71" s="578"/>
      <c r="C71" s="375"/>
      <c r="D71" s="375"/>
      <c r="E71" s="375"/>
      <c r="F71" s="375"/>
      <c r="G71" s="375"/>
      <c r="H71" s="375"/>
      <c r="I71" s="375"/>
      <c r="J71" s="375"/>
      <c r="K71" s="375"/>
      <c r="L71" s="375"/>
      <c r="M71" s="375"/>
      <c r="N71" s="375"/>
      <c r="O71" s="375"/>
    </row>
    <row r="72" spans="1:15" s="374" customFormat="1" ht="12" customHeight="1" x14ac:dyDescent="0.2">
      <c r="A72" s="348"/>
      <c r="B72" s="348"/>
      <c r="C72" s="331"/>
      <c r="D72" s="331"/>
      <c r="E72" s="331"/>
      <c r="F72" s="331"/>
      <c r="G72" s="331"/>
      <c r="H72" s="331"/>
      <c r="I72" s="331"/>
      <c r="J72" s="331"/>
      <c r="K72" s="331"/>
      <c r="L72" s="331"/>
      <c r="M72" s="331"/>
      <c r="N72" s="331"/>
      <c r="O72" s="331"/>
    </row>
    <row r="73" spans="1:15" s="333" customFormat="1" ht="36" customHeight="1" x14ac:dyDescent="0.2">
      <c r="A73" s="1158" t="s">
        <v>592</v>
      </c>
      <c r="B73" s="1158"/>
      <c r="C73" s="1158"/>
      <c r="D73" s="1158"/>
      <c r="E73" s="1158"/>
      <c r="F73" s="1158"/>
      <c r="G73" s="1158"/>
      <c r="H73" s="1158"/>
      <c r="I73" s="1158"/>
      <c r="J73" s="1158"/>
      <c r="K73" s="1158"/>
      <c r="L73" s="1158"/>
      <c r="M73" s="1158"/>
      <c r="N73" s="1158"/>
      <c r="O73" s="1158"/>
    </row>
    <row r="74" spans="1:15" s="374" customFormat="1" ht="12" customHeight="1" x14ac:dyDescent="0.2">
      <c r="A74" s="578"/>
      <c r="B74" s="578"/>
      <c r="C74" s="346"/>
      <c r="D74" s="346"/>
      <c r="E74" s="346"/>
      <c r="F74" s="346"/>
      <c r="G74" s="346"/>
      <c r="H74" s="346"/>
      <c r="I74" s="346"/>
      <c r="J74" s="346"/>
      <c r="K74" s="346"/>
      <c r="L74" s="346"/>
      <c r="M74" s="346"/>
      <c r="N74" s="346"/>
      <c r="O74" s="346"/>
    </row>
    <row r="75" spans="1:15" s="374" customFormat="1" ht="34.5" customHeight="1" x14ac:dyDescent="0.2">
      <c r="A75" s="1034" t="s">
        <v>484</v>
      </c>
      <c r="B75" s="1169" t="s">
        <v>550</v>
      </c>
      <c r="C75" s="1170"/>
      <c r="D75" s="1176" t="s">
        <v>831</v>
      </c>
      <c r="E75" s="1177"/>
      <c r="F75" s="1177"/>
      <c r="G75" s="1178"/>
      <c r="H75" s="1179" t="s">
        <v>825</v>
      </c>
      <c r="I75" s="1180"/>
      <c r="J75" s="1180"/>
      <c r="K75" s="1181"/>
      <c r="L75" s="1190" t="s">
        <v>823</v>
      </c>
      <c r="M75" s="1180"/>
      <c r="N75" s="1180"/>
      <c r="O75" s="1181"/>
    </row>
    <row r="76" spans="1:15" s="374" customFormat="1" ht="52.5" customHeight="1" x14ac:dyDescent="0.2">
      <c r="A76" s="1035"/>
      <c r="B76" s="1171"/>
      <c r="C76" s="1172"/>
      <c r="D76" s="399" t="s">
        <v>581</v>
      </c>
      <c r="E76" s="401" t="s">
        <v>593</v>
      </c>
      <c r="F76" s="1203" t="s">
        <v>553</v>
      </c>
      <c r="G76" s="1204"/>
      <c r="H76" s="399" t="s">
        <v>581</v>
      </c>
      <c r="I76" s="401" t="s">
        <v>593</v>
      </c>
      <c r="J76" s="1203" t="s">
        <v>583</v>
      </c>
      <c r="K76" s="1204"/>
      <c r="L76" s="399" t="s">
        <v>581</v>
      </c>
      <c r="M76" s="401" t="s">
        <v>593</v>
      </c>
      <c r="N76" s="1203" t="s">
        <v>553</v>
      </c>
      <c r="O76" s="1204"/>
    </row>
    <row r="77" spans="1:15" s="331" customFormat="1" x14ac:dyDescent="0.2">
      <c r="A77" s="417" t="s">
        <v>6</v>
      </c>
      <c r="B77" s="1114" t="s">
        <v>7</v>
      </c>
      <c r="C77" s="1164"/>
      <c r="D77" s="396" t="s">
        <v>8</v>
      </c>
      <c r="E77" s="397" t="s">
        <v>9</v>
      </c>
      <c r="F77" s="1159" t="s">
        <v>584</v>
      </c>
      <c r="G77" s="1160"/>
      <c r="H77" s="396" t="s">
        <v>467</v>
      </c>
      <c r="I77" s="397" t="s">
        <v>466</v>
      </c>
      <c r="J77" s="1161" t="s">
        <v>585</v>
      </c>
      <c r="K77" s="1162"/>
      <c r="L77" s="396" t="s">
        <v>464</v>
      </c>
      <c r="M77" s="397" t="s">
        <v>463</v>
      </c>
      <c r="N77" s="1161" t="s">
        <v>586</v>
      </c>
      <c r="O77" s="1162"/>
    </row>
    <row r="78" spans="1:15" s="374" customFormat="1" ht="27.75" customHeight="1" x14ac:dyDescent="0.2">
      <c r="A78" s="486" t="s">
        <v>6</v>
      </c>
      <c r="B78" s="1167" t="s">
        <v>564</v>
      </c>
      <c r="C78" s="1168"/>
      <c r="D78" s="646">
        <f>ROUNDUP(F78/43950,0)</f>
        <v>3</v>
      </c>
      <c r="E78" s="655">
        <f>ROUND(F78/D78,2)</f>
        <v>38216</v>
      </c>
      <c r="F78" s="1069">
        <f>Титульный!E132</f>
        <v>114648</v>
      </c>
      <c r="G78" s="1071"/>
      <c r="H78" s="646">
        <f>ROUNDUP(J78/43950,0)</f>
        <v>3</v>
      </c>
      <c r="I78" s="655">
        <f>ROUND(J78/H78,2)</f>
        <v>38216</v>
      </c>
      <c r="J78" s="1069">
        <f>Титульный!F132</f>
        <v>114648</v>
      </c>
      <c r="K78" s="1071"/>
      <c r="L78" s="649">
        <v>3</v>
      </c>
      <c r="M78" s="655">
        <v>37660</v>
      </c>
      <c r="N78" s="1069">
        <f>Титульный!G132</f>
        <v>114648</v>
      </c>
      <c r="O78" s="1071"/>
    </row>
    <row r="79" spans="1:15" s="571" customFormat="1" ht="27.75" customHeight="1" x14ac:dyDescent="0.2">
      <c r="A79" s="440"/>
      <c r="B79" s="1156" t="s">
        <v>492</v>
      </c>
      <c r="C79" s="1157"/>
      <c r="D79" s="512" t="s">
        <v>462</v>
      </c>
      <c r="E79" s="511" t="s">
        <v>462</v>
      </c>
      <c r="F79" s="1008">
        <f>F78</f>
        <v>114648</v>
      </c>
      <c r="G79" s="1009"/>
      <c r="H79" s="512" t="s">
        <v>462</v>
      </c>
      <c r="I79" s="511" t="s">
        <v>462</v>
      </c>
      <c r="J79" s="1008">
        <f>J78</f>
        <v>114648</v>
      </c>
      <c r="K79" s="1009"/>
      <c r="L79" s="510" t="s">
        <v>462</v>
      </c>
      <c r="M79" s="511" t="s">
        <v>462</v>
      </c>
      <c r="N79" s="1008">
        <f>N78</f>
        <v>114648</v>
      </c>
      <c r="O79" s="1009"/>
    </row>
    <row r="80" spans="1:15" s="331" customFormat="1" ht="12.6" customHeight="1" x14ac:dyDescent="0.2">
      <c r="A80" s="348"/>
      <c r="B80" s="348"/>
    </row>
    <row r="81" spans="1:15" s="374" customFormat="1" ht="12" customHeight="1" x14ac:dyDescent="0.2">
      <c r="A81" s="348"/>
      <c r="B81" s="348"/>
    </row>
    <row r="82" spans="1:15" s="374" customFormat="1" x14ac:dyDescent="0.2">
      <c r="A82" s="348"/>
      <c r="B82" s="348"/>
    </row>
    <row r="83" spans="1:15" s="333" customFormat="1" ht="36" customHeight="1" x14ac:dyDescent="0.2">
      <c r="A83" s="1158" t="s">
        <v>594</v>
      </c>
      <c r="B83" s="1158"/>
      <c r="C83" s="1158"/>
      <c r="D83" s="1158"/>
      <c r="E83" s="1158"/>
      <c r="F83" s="1158"/>
      <c r="G83" s="1158"/>
      <c r="H83" s="1158"/>
      <c r="I83" s="1158"/>
      <c r="J83" s="1158"/>
      <c r="K83" s="1158"/>
      <c r="L83" s="1158"/>
      <c r="M83" s="1158"/>
      <c r="N83" s="1158"/>
      <c r="O83" s="1158"/>
    </row>
    <row r="84" spans="1:15" s="374" customFormat="1" ht="12" customHeight="1" x14ac:dyDescent="0.2">
      <c r="A84" s="578"/>
      <c r="B84" s="578"/>
      <c r="C84" s="346"/>
      <c r="D84" s="346"/>
      <c r="E84" s="346"/>
      <c r="F84" s="346"/>
      <c r="G84" s="346"/>
      <c r="H84" s="346"/>
      <c r="I84" s="346"/>
      <c r="J84" s="346"/>
      <c r="K84" s="346"/>
      <c r="L84" s="346"/>
      <c r="M84" s="346"/>
      <c r="N84" s="346"/>
      <c r="O84" s="346"/>
    </row>
    <row r="85" spans="1:15" s="374" customFormat="1" ht="34.5" customHeight="1" x14ac:dyDescent="0.2">
      <c r="A85" s="1034" t="s">
        <v>484</v>
      </c>
      <c r="B85" s="1169" t="s">
        <v>550</v>
      </c>
      <c r="C85" s="1170"/>
      <c r="D85" s="1176" t="s">
        <v>831</v>
      </c>
      <c r="E85" s="1177"/>
      <c r="F85" s="1177"/>
      <c r="G85" s="1178"/>
      <c r="H85" s="1179" t="s">
        <v>825</v>
      </c>
      <c r="I85" s="1180"/>
      <c r="J85" s="1180"/>
      <c r="K85" s="1181"/>
      <c r="L85" s="1190" t="s">
        <v>823</v>
      </c>
      <c r="M85" s="1180"/>
      <c r="N85" s="1180"/>
      <c r="O85" s="1181"/>
    </row>
    <row r="86" spans="1:15" s="374" customFormat="1" ht="52.5" customHeight="1" x14ac:dyDescent="0.2">
      <c r="A86" s="1035"/>
      <c r="B86" s="1171"/>
      <c r="C86" s="1172"/>
      <c r="D86" s="399" t="s">
        <v>581</v>
      </c>
      <c r="E86" s="401" t="s">
        <v>593</v>
      </c>
      <c r="F86" s="1203" t="s">
        <v>553</v>
      </c>
      <c r="G86" s="1204"/>
      <c r="H86" s="399" t="s">
        <v>581</v>
      </c>
      <c r="I86" s="401" t="s">
        <v>593</v>
      </c>
      <c r="J86" s="1203" t="s">
        <v>583</v>
      </c>
      <c r="K86" s="1204"/>
      <c r="L86" s="399" t="s">
        <v>581</v>
      </c>
      <c r="M86" s="401" t="s">
        <v>593</v>
      </c>
      <c r="N86" s="1203" t="s">
        <v>553</v>
      </c>
      <c r="O86" s="1204"/>
    </row>
    <row r="87" spans="1:15" s="331" customFormat="1" x14ac:dyDescent="0.2">
      <c r="A87" s="417" t="s">
        <v>6</v>
      </c>
      <c r="B87" s="1114" t="s">
        <v>7</v>
      </c>
      <c r="C87" s="1164"/>
      <c r="D87" s="396" t="s">
        <v>8</v>
      </c>
      <c r="E87" s="397" t="s">
        <v>9</v>
      </c>
      <c r="F87" s="1159" t="s">
        <v>584</v>
      </c>
      <c r="G87" s="1160"/>
      <c r="H87" s="396" t="s">
        <v>467</v>
      </c>
      <c r="I87" s="397" t="s">
        <v>466</v>
      </c>
      <c r="J87" s="1161" t="s">
        <v>585</v>
      </c>
      <c r="K87" s="1162"/>
      <c r="L87" s="396" t="s">
        <v>464</v>
      </c>
      <c r="M87" s="397" t="s">
        <v>463</v>
      </c>
      <c r="N87" s="1161" t="s">
        <v>586</v>
      </c>
      <c r="O87" s="1162"/>
    </row>
    <row r="88" spans="1:15" s="374" customFormat="1" ht="27.75" customHeight="1" x14ac:dyDescent="0.2">
      <c r="A88" s="486" t="s">
        <v>6</v>
      </c>
      <c r="B88" s="1167"/>
      <c r="C88" s="1168"/>
      <c r="D88" s="646"/>
      <c r="E88" s="655"/>
      <c r="F88" s="1069"/>
      <c r="G88" s="1071"/>
      <c r="H88" s="646"/>
      <c r="I88" s="655"/>
      <c r="J88" s="1069"/>
      <c r="K88" s="1071"/>
      <c r="L88" s="649"/>
      <c r="M88" s="655"/>
      <c r="N88" s="1069"/>
      <c r="O88" s="1071"/>
    </row>
    <row r="89" spans="1:15" s="374" customFormat="1" ht="27.75" customHeight="1" x14ac:dyDescent="0.2">
      <c r="A89" s="570">
        <v>2</v>
      </c>
      <c r="B89" s="1154"/>
      <c r="C89" s="1155"/>
      <c r="D89" s="674"/>
      <c r="E89" s="675"/>
      <c r="F89" s="1148"/>
      <c r="G89" s="1149"/>
      <c r="H89" s="674"/>
      <c r="I89" s="675"/>
      <c r="J89" s="1148"/>
      <c r="K89" s="1149"/>
      <c r="L89" s="676"/>
      <c r="M89" s="675"/>
      <c r="N89" s="1148"/>
      <c r="O89" s="1149"/>
    </row>
    <row r="90" spans="1:15" s="571" customFormat="1" ht="27.75" customHeight="1" x14ac:dyDescent="0.2">
      <c r="A90" s="440"/>
      <c r="B90" s="1156" t="s">
        <v>492</v>
      </c>
      <c r="C90" s="1157"/>
      <c r="D90" s="512" t="s">
        <v>462</v>
      </c>
      <c r="E90" s="511" t="s">
        <v>462</v>
      </c>
      <c r="F90" s="1008">
        <f>F88</f>
        <v>0</v>
      </c>
      <c r="G90" s="1009"/>
      <c r="H90" s="512" t="s">
        <v>462</v>
      </c>
      <c r="I90" s="511" t="s">
        <v>462</v>
      </c>
      <c r="J90" s="1008">
        <f>J88</f>
        <v>0</v>
      </c>
      <c r="K90" s="1009"/>
      <c r="L90" s="510" t="s">
        <v>462</v>
      </c>
      <c r="M90" s="511" t="s">
        <v>462</v>
      </c>
      <c r="N90" s="1008">
        <f>N88</f>
        <v>0</v>
      </c>
      <c r="O90" s="1009"/>
    </row>
    <row r="91" spans="1:15" s="331" customFormat="1" x14ac:dyDescent="0.2">
      <c r="A91" s="348"/>
      <c r="B91" s="348"/>
    </row>
    <row r="92" spans="1:15" s="374" customFormat="1" ht="12" customHeight="1" x14ac:dyDescent="0.2">
      <c r="A92" s="348"/>
      <c r="B92" s="348"/>
    </row>
    <row r="93" spans="1:15" s="374" customFormat="1" x14ac:dyDescent="0.2">
      <c r="A93" s="348"/>
      <c r="B93" s="348"/>
    </row>
    <row r="94" spans="1:15" s="333" customFormat="1" ht="36.75" customHeight="1" x14ac:dyDescent="0.2">
      <c r="A94" s="1128" t="s">
        <v>595</v>
      </c>
      <c r="B94" s="1128"/>
      <c r="C94" s="1128"/>
      <c r="D94" s="1128"/>
      <c r="E94" s="1128"/>
      <c r="F94" s="1128"/>
      <c r="G94" s="1128"/>
      <c r="H94" s="1128"/>
      <c r="I94" s="1128"/>
      <c r="J94" s="1128"/>
      <c r="K94" s="1128"/>
      <c r="L94" s="1128"/>
      <c r="M94" s="1128"/>
      <c r="N94" s="1128"/>
      <c r="O94" s="1128"/>
    </row>
    <row r="95" spans="1:15" s="374" customFormat="1" ht="12" customHeight="1" x14ac:dyDescent="0.2">
      <c r="A95" s="348"/>
      <c r="B95" s="348"/>
      <c r="C95" s="331"/>
      <c r="D95" s="331"/>
      <c r="E95" s="331"/>
      <c r="F95" s="331"/>
      <c r="G95" s="331"/>
      <c r="H95" s="331"/>
      <c r="I95" s="331"/>
      <c r="J95" s="331"/>
      <c r="K95" s="331"/>
      <c r="L95" s="331"/>
      <c r="M95" s="331"/>
      <c r="N95" s="331"/>
      <c r="O95" s="331"/>
    </row>
    <row r="96" spans="1:15" s="374" customFormat="1" ht="34.5" customHeight="1" x14ac:dyDescent="0.2">
      <c r="A96" s="1163" t="s">
        <v>535</v>
      </c>
      <c r="B96" s="1034" t="s">
        <v>484</v>
      </c>
      <c r="C96" s="1108" t="s">
        <v>550</v>
      </c>
      <c r="D96" s="1138" t="s">
        <v>831</v>
      </c>
      <c r="E96" s="1139"/>
      <c r="F96" s="1139"/>
      <c r="G96" s="1140"/>
      <c r="H96" s="1141" t="s">
        <v>825</v>
      </c>
      <c r="I96" s="1142"/>
      <c r="J96" s="1142"/>
      <c r="K96" s="1143"/>
      <c r="L96" s="1141" t="s">
        <v>823</v>
      </c>
      <c r="M96" s="1142"/>
      <c r="N96" s="1142"/>
      <c r="O96" s="1143"/>
    </row>
    <row r="97" spans="1:15" s="374" customFormat="1" ht="52.5" customHeight="1" x14ac:dyDescent="0.2">
      <c r="A97" s="1163"/>
      <c r="B97" s="1035"/>
      <c r="C97" s="1110"/>
      <c r="D97" s="399" t="s">
        <v>581</v>
      </c>
      <c r="E97" s="743" t="s">
        <v>593</v>
      </c>
      <c r="F97" s="1144" t="s">
        <v>553</v>
      </c>
      <c r="G97" s="1095"/>
      <c r="H97" s="399" t="s">
        <v>581</v>
      </c>
      <c r="I97" s="743" t="s">
        <v>593</v>
      </c>
      <c r="J97" s="1144" t="s">
        <v>583</v>
      </c>
      <c r="K97" s="1095"/>
      <c r="L97" s="399" t="s">
        <v>581</v>
      </c>
      <c r="M97" s="743" t="s">
        <v>593</v>
      </c>
      <c r="N97" s="1144" t="s">
        <v>553</v>
      </c>
      <c r="O97" s="1095"/>
    </row>
    <row r="98" spans="1:15" x14ac:dyDescent="0.2">
      <c r="A98" s="730" t="s">
        <v>6</v>
      </c>
      <c r="B98" s="417">
        <v>2</v>
      </c>
      <c r="C98" s="768">
        <v>6</v>
      </c>
      <c r="D98" s="396">
        <v>4</v>
      </c>
      <c r="E98" s="742">
        <v>5</v>
      </c>
      <c r="F98" s="1145" t="s">
        <v>554</v>
      </c>
      <c r="G98" s="1146"/>
      <c r="H98" s="396">
        <v>7</v>
      </c>
      <c r="I98" s="742">
        <v>8</v>
      </c>
      <c r="J98" s="1152" t="s">
        <v>555</v>
      </c>
      <c r="K98" s="1153"/>
      <c r="L98" s="396">
        <v>10</v>
      </c>
      <c r="M98" s="742">
        <v>11</v>
      </c>
      <c r="N98" s="1152" t="s">
        <v>556</v>
      </c>
      <c r="O98" s="1153"/>
    </row>
    <row r="99" spans="1:15" ht="27.75" customHeight="1" x14ac:dyDescent="0.2">
      <c r="A99" s="772">
        <v>113</v>
      </c>
      <c r="B99" s="486" t="s">
        <v>6</v>
      </c>
      <c r="C99" s="769" t="s">
        <v>809</v>
      </c>
      <c r="D99" s="646">
        <f>F99/E99</f>
        <v>139.24</v>
      </c>
      <c r="E99" s="741">
        <v>200</v>
      </c>
      <c r="F99" s="1147">
        <f>Титульный!E18+Титульный!E110+Титульный!E136</f>
        <v>27848</v>
      </c>
      <c r="G99" s="1050"/>
      <c r="H99" s="646">
        <f>J99/I99</f>
        <v>0</v>
      </c>
      <c r="I99" s="741">
        <v>200</v>
      </c>
      <c r="J99" s="1147">
        <f>Титульный!F18+Титульный!F110+Титульный!F136</f>
        <v>0</v>
      </c>
      <c r="K99" s="1050"/>
      <c r="L99" s="649">
        <f>N99/M99</f>
        <v>0</v>
      </c>
      <c r="M99" s="741">
        <v>200</v>
      </c>
      <c r="N99" s="1147">
        <f>Титульный!G18+Титульный!G110+Титульный!G136</f>
        <v>0</v>
      </c>
      <c r="O99" s="1050"/>
    </row>
    <row r="100" spans="1:15" ht="27.75" customHeight="1" x14ac:dyDescent="0.2">
      <c r="A100" s="773" t="s">
        <v>67</v>
      </c>
      <c r="B100" s="570">
        <v>2</v>
      </c>
      <c r="C100" s="770"/>
      <c r="D100" s="674"/>
      <c r="E100" s="675"/>
      <c r="F100" s="1148"/>
      <c r="G100" s="1149"/>
      <c r="H100" s="674"/>
      <c r="I100" s="675"/>
      <c r="J100" s="1148"/>
      <c r="K100" s="1149"/>
      <c r="L100" s="676"/>
      <c r="M100" s="675"/>
      <c r="N100" s="1148"/>
      <c r="O100" s="1149"/>
    </row>
    <row r="101" spans="1:15" ht="27.75" customHeight="1" x14ac:dyDescent="0.2">
      <c r="A101" s="731"/>
      <c r="B101" s="440"/>
      <c r="C101" s="771" t="s">
        <v>492</v>
      </c>
      <c r="D101" s="512" t="s">
        <v>462</v>
      </c>
      <c r="E101" s="511" t="s">
        <v>462</v>
      </c>
      <c r="F101" s="1150">
        <f>F99</f>
        <v>27848</v>
      </c>
      <c r="G101" s="1151"/>
      <c r="H101" s="512" t="s">
        <v>462</v>
      </c>
      <c r="I101" s="511" t="s">
        <v>462</v>
      </c>
      <c r="J101" s="1150">
        <f>J99</f>
        <v>0</v>
      </c>
      <c r="K101" s="1151"/>
      <c r="L101" s="510" t="s">
        <v>462</v>
      </c>
      <c r="M101" s="511" t="s">
        <v>462</v>
      </c>
      <c r="N101" s="1150">
        <f>N99</f>
        <v>0</v>
      </c>
      <c r="O101" s="1151"/>
    </row>
  </sheetData>
  <mergeCells count="181">
    <mergeCell ref="A1:O1"/>
    <mergeCell ref="A17:O17"/>
    <mergeCell ref="A30:O30"/>
    <mergeCell ref="A42:O42"/>
    <mergeCell ref="A53:O53"/>
    <mergeCell ref="F87:G87"/>
    <mergeCell ref="J87:K87"/>
    <mergeCell ref="N87:O87"/>
    <mergeCell ref="D85:G85"/>
    <mergeCell ref="H85:K85"/>
    <mergeCell ref="L85:O85"/>
    <mergeCell ref="F86:G86"/>
    <mergeCell ref="J86:K86"/>
    <mergeCell ref="N86:O86"/>
    <mergeCell ref="N79:O79"/>
    <mergeCell ref="L75:O75"/>
    <mergeCell ref="F76:G76"/>
    <mergeCell ref="J76:K76"/>
    <mergeCell ref="N76:O76"/>
    <mergeCell ref="B77:C77"/>
    <mergeCell ref="B78:C78"/>
    <mergeCell ref="H44:K44"/>
    <mergeCell ref="A3:A4"/>
    <mergeCell ref="L4:O4"/>
    <mergeCell ref="B96:B97"/>
    <mergeCell ref="A85:A86"/>
    <mergeCell ref="B85:C86"/>
    <mergeCell ref="B87:C87"/>
    <mergeCell ref="B88:C88"/>
    <mergeCell ref="H4:K4"/>
    <mergeCell ref="B3:B4"/>
    <mergeCell ref="C3:C4"/>
    <mergeCell ref="A19:A20"/>
    <mergeCell ref="B19:C20"/>
    <mergeCell ref="D19:G19"/>
    <mergeCell ref="D4:G4"/>
    <mergeCell ref="D6:G6"/>
    <mergeCell ref="D7:G7"/>
    <mergeCell ref="D8:G8"/>
    <mergeCell ref="D9:G9"/>
    <mergeCell ref="D10:G10"/>
    <mergeCell ref="D11:G11"/>
    <mergeCell ref="D12:G12"/>
    <mergeCell ref="D13:G13"/>
    <mergeCell ref="H6:K6"/>
    <mergeCell ref="H7:K7"/>
    <mergeCell ref="D3:O3"/>
    <mergeCell ref="L19:O19"/>
    <mergeCell ref="D5:G5"/>
    <mergeCell ref="H5:K5"/>
    <mergeCell ref="L5:O5"/>
    <mergeCell ref="D75:G75"/>
    <mergeCell ref="H75:K75"/>
    <mergeCell ref="A73:O73"/>
    <mergeCell ref="A65:A66"/>
    <mergeCell ref="B65:C66"/>
    <mergeCell ref="D65:G65"/>
    <mergeCell ref="H65:K65"/>
    <mergeCell ref="L65:O65"/>
    <mergeCell ref="F66:G66"/>
    <mergeCell ref="J66:K66"/>
    <mergeCell ref="N66:O66"/>
    <mergeCell ref="J47:K47"/>
    <mergeCell ref="J48:K48"/>
    <mergeCell ref="B37:C37"/>
    <mergeCell ref="L7:O7"/>
    <mergeCell ref="L8:O8"/>
    <mergeCell ref="L9:O9"/>
    <mergeCell ref="L6:O6"/>
    <mergeCell ref="A32:A33"/>
    <mergeCell ref="B32:C33"/>
    <mergeCell ref="D32:G32"/>
    <mergeCell ref="B23:C23"/>
    <mergeCell ref="B24:C24"/>
    <mergeCell ref="B25:C25"/>
    <mergeCell ref="B34:C34"/>
    <mergeCell ref="B21:C21"/>
    <mergeCell ref="B22:C22"/>
    <mergeCell ref="B26:C26"/>
    <mergeCell ref="H8:K8"/>
    <mergeCell ref="H9:K9"/>
    <mergeCell ref="H10:K10"/>
    <mergeCell ref="L10:O10"/>
    <mergeCell ref="L11:O11"/>
    <mergeCell ref="L12:O12"/>
    <mergeCell ref="L13:O13"/>
    <mergeCell ref="H11:K11"/>
    <mergeCell ref="H12:K12"/>
    <mergeCell ref="H13:K13"/>
    <mergeCell ref="L32:O32"/>
    <mergeCell ref="H19:K19"/>
    <mergeCell ref="H32:K32"/>
    <mergeCell ref="B35:C35"/>
    <mergeCell ref="B36:C36"/>
    <mergeCell ref="B38:C38"/>
    <mergeCell ref="A44:A45"/>
    <mergeCell ref="B44:C45"/>
    <mergeCell ref="L55:O55"/>
    <mergeCell ref="B46:C46"/>
    <mergeCell ref="B47:C47"/>
    <mergeCell ref="B48:C48"/>
    <mergeCell ref="A55:A56"/>
    <mergeCell ref="B49:C49"/>
    <mergeCell ref="F49:G49"/>
    <mergeCell ref="J49:K49"/>
    <mergeCell ref="N49:O49"/>
    <mergeCell ref="D44:G44"/>
    <mergeCell ref="F45:G45"/>
    <mergeCell ref="F46:G46"/>
    <mergeCell ref="F47:G47"/>
    <mergeCell ref="F48:G48"/>
    <mergeCell ref="N45:O45"/>
    <mergeCell ref="N46:O46"/>
    <mergeCell ref="N47:O47"/>
    <mergeCell ref="N48:O48"/>
    <mergeCell ref="L44:O44"/>
    <mergeCell ref="J45:K45"/>
    <mergeCell ref="J46:K46"/>
    <mergeCell ref="B55:C56"/>
    <mergeCell ref="D55:G55"/>
    <mergeCell ref="H55:K55"/>
    <mergeCell ref="B57:C57"/>
    <mergeCell ref="B58:C58"/>
    <mergeCell ref="B59:C59"/>
    <mergeCell ref="A63:O63"/>
    <mergeCell ref="A96:A97"/>
    <mergeCell ref="F89:G89"/>
    <mergeCell ref="J89:K89"/>
    <mergeCell ref="N89:O89"/>
    <mergeCell ref="F90:G90"/>
    <mergeCell ref="J90:K90"/>
    <mergeCell ref="N90:O90"/>
    <mergeCell ref="A94:O94"/>
    <mergeCell ref="B67:C67"/>
    <mergeCell ref="F67:G67"/>
    <mergeCell ref="J67:K67"/>
    <mergeCell ref="N67:O67"/>
    <mergeCell ref="B68:C68"/>
    <mergeCell ref="F68:G68"/>
    <mergeCell ref="J68:K68"/>
    <mergeCell ref="N68:O68"/>
    <mergeCell ref="A75:A76"/>
    <mergeCell ref="B75:C76"/>
    <mergeCell ref="F69:G69"/>
    <mergeCell ref="B69:C69"/>
    <mergeCell ref="N69:O69"/>
    <mergeCell ref="J69:K69"/>
    <mergeCell ref="F88:G88"/>
    <mergeCell ref="J88:K88"/>
    <mergeCell ref="B89:C89"/>
    <mergeCell ref="B90:C90"/>
    <mergeCell ref="F79:G79"/>
    <mergeCell ref="A83:O83"/>
    <mergeCell ref="F77:G77"/>
    <mergeCell ref="J77:K77"/>
    <mergeCell ref="N77:O77"/>
    <mergeCell ref="F78:G78"/>
    <mergeCell ref="J78:K78"/>
    <mergeCell ref="N78:O78"/>
    <mergeCell ref="N88:O88"/>
    <mergeCell ref="B79:C79"/>
    <mergeCell ref="J79:K79"/>
    <mergeCell ref="C96:C97"/>
    <mergeCell ref="D96:G96"/>
    <mergeCell ref="H96:K96"/>
    <mergeCell ref="L96:O96"/>
    <mergeCell ref="F97:G97"/>
    <mergeCell ref="F98:G98"/>
    <mergeCell ref="F99:G99"/>
    <mergeCell ref="F100:G100"/>
    <mergeCell ref="F101:G101"/>
    <mergeCell ref="J97:K97"/>
    <mergeCell ref="J98:K98"/>
    <mergeCell ref="J99:K99"/>
    <mergeCell ref="J101:K101"/>
    <mergeCell ref="J100:K100"/>
    <mergeCell ref="N97:O97"/>
    <mergeCell ref="N98:O98"/>
    <mergeCell ref="N99:O99"/>
    <mergeCell ref="N101:O101"/>
    <mergeCell ref="N100:O100"/>
  </mergeCells>
  <conditionalFormatting sqref="D35 H35 L35 L22:L23 H22:H23 D22:D23">
    <cfRule type="containsBlanks" dxfId="102" priority="3">
      <formula>LEN(TRIM(D22))=0</formula>
    </cfRule>
  </conditionalFormatting>
  <pageMargins left="0.19685039370078741" right="0.19685039370078741" top="0.74803149606299213" bottom="0.19685039370078741" header="0.31496062992125984" footer="0.31496062992125984"/>
  <pageSetup paperSize="9" scale="68" orientation="landscape" r:id="rId1"/>
  <rowBreaks count="4" manualBreakCount="4">
    <brk id="16" max="14" man="1"/>
    <brk id="41" max="14" man="1"/>
    <brk id="62" max="14" man="1"/>
    <brk id="90"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9"/>
  <dimension ref="A1:N111"/>
  <sheetViews>
    <sheetView view="pageBreakPreview" topLeftCell="A7" zoomScale="60" zoomScaleNormal="70" workbookViewId="0">
      <selection activeCell="L38" sqref="L38"/>
    </sheetView>
  </sheetViews>
  <sheetFormatPr defaultRowHeight="12.75" x14ac:dyDescent="0.2"/>
  <cols>
    <col min="1" max="1" width="11.28515625" customWidth="1"/>
    <col min="2" max="2" width="4.85546875" style="350" customWidth="1"/>
    <col min="3" max="3" width="53.85546875" customWidth="1"/>
    <col min="4" max="12" width="17.42578125" customWidth="1"/>
    <col min="14" max="14" width="13.140625" bestFit="1" customWidth="1"/>
  </cols>
  <sheetData>
    <row r="1" spans="1:14" s="449" customFormat="1" ht="36" customHeight="1" x14ac:dyDescent="0.2">
      <c r="A1" s="1128" t="s">
        <v>596</v>
      </c>
      <c r="B1" s="1128"/>
      <c r="C1" s="1128"/>
      <c r="D1" s="1128"/>
      <c r="E1" s="1128"/>
      <c r="F1" s="1128"/>
      <c r="G1" s="1128"/>
      <c r="H1" s="1128"/>
      <c r="I1" s="1128"/>
      <c r="J1" s="1128"/>
      <c r="K1" s="1128"/>
      <c r="L1" s="1128"/>
    </row>
    <row r="2" spans="1:14" s="449" customFormat="1" ht="36" customHeight="1" x14ac:dyDescent="0.2">
      <c r="A2" s="1158" t="s">
        <v>597</v>
      </c>
      <c r="B2" s="1158"/>
      <c r="C2" s="1158"/>
      <c r="D2" s="1158"/>
      <c r="E2" s="1158"/>
      <c r="F2" s="1158"/>
      <c r="G2" s="1158"/>
      <c r="H2" s="1158"/>
      <c r="I2" s="1158"/>
      <c r="J2" s="1158"/>
      <c r="K2" s="1158"/>
      <c r="L2" s="1158"/>
    </row>
    <row r="3" spans="1:14" s="331" customFormat="1" x14ac:dyDescent="0.2">
      <c r="B3" s="348"/>
    </row>
    <row r="4" spans="1:14" s="331" customFormat="1" ht="34.5" customHeight="1" x14ac:dyDescent="0.2">
      <c r="A4" s="1034" t="s">
        <v>598</v>
      </c>
      <c r="B4" s="1000" t="s">
        <v>484</v>
      </c>
      <c r="C4" s="1220" t="s">
        <v>550</v>
      </c>
      <c r="D4" s="1176" t="s">
        <v>831</v>
      </c>
      <c r="E4" s="1177"/>
      <c r="F4" s="1178"/>
      <c r="G4" s="1179" t="s">
        <v>826</v>
      </c>
      <c r="H4" s="1180"/>
      <c r="I4" s="1181"/>
      <c r="J4" s="1190" t="s">
        <v>823</v>
      </c>
      <c r="K4" s="1180"/>
      <c r="L4" s="1181"/>
    </row>
    <row r="5" spans="1:14" s="331" customFormat="1" ht="51" customHeight="1" x14ac:dyDescent="0.2">
      <c r="A5" s="1035"/>
      <c r="B5" s="1036"/>
      <c r="C5" s="1221"/>
      <c r="D5" s="405" t="s">
        <v>759</v>
      </c>
      <c r="E5" s="403" t="s">
        <v>760</v>
      </c>
      <c r="F5" s="406" t="s">
        <v>761</v>
      </c>
      <c r="G5" s="405" t="s">
        <v>759</v>
      </c>
      <c r="H5" s="403" t="s">
        <v>760</v>
      </c>
      <c r="I5" s="406" t="s">
        <v>761</v>
      </c>
      <c r="J5" s="402" t="s">
        <v>759</v>
      </c>
      <c r="K5" s="403" t="s">
        <v>760</v>
      </c>
      <c r="L5" s="406" t="s">
        <v>761</v>
      </c>
    </row>
    <row r="6" spans="1:14" s="374" customFormat="1" x14ac:dyDescent="0.2">
      <c r="A6" s="438" t="s">
        <v>6</v>
      </c>
      <c r="B6" s="439" t="s">
        <v>7</v>
      </c>
      <c r="C6" s="442" t="s">
        <v>8</v>
      </c>
      <c r="D6" s="438" t="s">
        <v>9</v>
      </c>
      <c r="E6" s="439" t="s">
        <v>10</v>
      </c>
      <c r="F6" s="443" t="s">
        <v>599</v>
      </c>
      <c r="G6" s="438" t="s">
        <v>466</v>
      </c>
      <c r="H6" s="439" t="s">
        <v>465</v>
      </c>
      <c r="I6" s="443" t="s">
        <v>600</v>
      </c>
      <c r="J6" s="441" t="s">
        <v>463</v>
      </c>
      <c r="K6" s="439" t="s">
        <v>468</v>
      </c>
      <c r="L6" s="443" t="s">
        <v>601</v>
      </c>
    </row>
    <row r="7" spans="1:14" s="331" customFormat="1" ht="36" customHeight="1" x14ac:dyDescent="0.2">
      <c r="A7" s="475" t="s">
        <v>70</v>
      </c>
      <c r="B7" s="504" t="s">
        <v>6</v>
      </c>
      <c r="C7" s="591" t="s">
        <v>762</v>
      </c>
      <c r="D7" s="589" t="s">
        <v>462</v>
      </c>
      <c r="E7" s="689" t="s">
        <v>462</v>
      </c>
      <c r="F7" s="692">
        <f>SUM(F8:F10)</f>
        <v>12577217.440000001</v>
      </c>
      <c r="G7" s="589" t="s">
        <v>462</v>
      </c>
      <c r="H7" s="689" t="s">
        <v>462</v>
      </c>
      <c r="I7" s="692">
        <f>SUM(I8:I10)</f>
        <v>12658266.789999999</v>
      </c>
      <c r="J7" s="587" t="s">
        <v>462</v>
      </c>
      <c r="K7" s="689" t="s">
        <v>462</v>
      </c>
      <c r="L7" s="692">
        <f>SUM(L8:L10)</f>
        <v>12897780.459999999</v>
      </c>
    </row>
    <row r="8" spans="1:14" s="331" customFormat="1" ht="26.25" customHeight="1" x14ac:dyDescent="0.2">
      <c r="A8" s="452" t="s">
        <v>70</v>
      </c>
      <c r="B8" s="450" t="s">
        <v>156</v>
      </c>
      <c r="C8" s="488" t="s">
        <v>763</v>
      </c>
      <c r="D8" s="690">
        <v>22</v>
      </c>
      <c r="E8" s="693">
        <f>Титульный!E13+Титульный!E56-Титульный!E57+Титульный!E130</f>
        <v>57452199.289999999</v>
      </c>
      <c r="F8" s="694">
        <f>F18-F11-F17</f>
        <v>12577217.440000001</v>
      </c>
      <c r="G8" s="690">
        <v>22</v>
      </c>
      <c r="H8" s="693">
        <f>Титульный!F13+Титульный!F56-Титульный!F57+Титульный!F130</f>
        <v>57837844</v>
      </c>
      <c r="I8" s="784">
        <f>I18-I11-I17</f>
        <v>12658266.789999999</v>
      </c>
      <c r="J8" s="463">
        <v>22</v>
      </c>
      <c r="K8" s="693">
        <f>Титульный!G13+Титульный!G56-Титульный!G57+Титульный!G130</f>
        <v>58926531</v>
      </c>
      <c r="L8" s="784">
        <f>L18-L11-L17</f>
        <v>12897780.459999999</v>
      </c>
      <c r="N8" s="354"/>
    </row>
    <row r="9" spans="1:14" s="331" customFormat="1" ht="26.25" customHeight="1" x14ac:dyDescent="0.2">
      <c r="A9" s="452" t="s">
        <v>70</v>
      </c>
      <c r="B9" s="450" t="s">
        <v>158</v>
      </c>
      <c r="C9" s="488" t="s">
        <v>764</v>
      </c>
      <c r="D9" s="690">
        <v>10</v>
      </c>
      <c r="E9" s="693">
        <v>0</v>
      </c>
      <c r="F9" s="694">
        <f>ROUND(E9*D9/100,2)</f>
        <v>0</v>
      </c>
      <c r="G9" s="690">
        <v>10</v>
      </c>
      <c r="H9" s="693">
        <v>0</v>
      </c>
      <c r="I9" s="694">
        <f>ROUND(H9*G9/100,2)</f>
        <v>0</v>
      </c>
      <c r="J9" s="463">
        <v>10</v>
      </c>
      <c r="K9" s="693">
        <v>0</v>
      </c>
      <c r="L9" s="694">
        <f>ROUND(K9*J9/100,2)</f>
        <v>0</v>
      </c>
    </row>
    <row r="10" spans="1:14" s="331" customFormat="1" ht="53.25" customHeight="1" x14ac:dyDescent="0.2">
      <c r="A10" s="452" t="s">
        <v>70</v>
      </c>
      <c r="B10" s="450" t="s">
        <v>160</v>
      </c>
      <c r="C10" s="592" t="s">
        <v>602</v>
      </c>
      <c r="D10" s="690"/>
      <c r="E10" s="693"/>
      <c r="F10" s="694"/>
      <c r="G10" s="690"/>
      <c r="H10" s="693"/>
      <c r="I10" s="694"/>
      <c r="J10" s="463"/>
      <c r="K10" s="693"/>
      <c r="L10" s="694"/>
    </row>
    <row r="11" spans="1:14" s="331" customFormat="1" ht="36" customHeight="1" x14ac:dyDescent="0.2">
      <c r="A11" s="452" t="s">
        <v>70</v>
      </c>
      <c r="B11" s="450" t="s">
        <v>7</v>
      </c>
      <c r="C11" s="592" t="s">
        <v>765</v>
      </c>
      <c r="D11" s="690" t="s">
        <v>462</v>
      </c>
      <c r="E11" s="693" t="s">
        <v>462</v>
      </c>
      <c r="F11" s="694">
        <f>SUM(F12:F16)</f>
        <v>1781018.18</v>
      </c>
      <c r="G11" s="690" t="s">
        <v>462</v>
      </c>
      <c r="H11" s="693" t="s">
        <v>462</v>
      </c>
      <c r="I11" s="694">
        <f>SUM(I12:I16)</f>
        <v>1792973.17</v>
      </c>
      <c r="J11" s="463" t="s">
        <v>462</v>
      </c>
      <c r="K11" s="693" t="s">
        <v>462</v>
      </c>
      <c r="L11" s="694">
        <f>SUM(L12:L16)</f>
        <v>1826722.46</v>
      </c>
      <c r="N11" s="354"/>
    </row>
    <row r="12" spans="1:14" s="331" customFormat="1" ht="53.25" customHeight="1" x14ac:dyDescent="0.2">
      <c r="A12" s="452" t="s">
        <v>70</v>
      </c>
      <c r="B12" s="450" t="s">
        <v>603</v>
      </c>
      <c r="C12" s="592" t="s">
        <v>766</v>
      </c>
      <c r="D12" s="690">
        <v>2.9</v>
      </c>
      <c r="E12" s="693">
        <f>E8</f>
        <v>57452199.289999999</v>
      </c>
      <c r="F12" s="694">
        <f>ROUND(E12*D12/100,2)</f>
        <v>1666113.78</v>
      </c>
      <c r="G12" s="690">
        <v>2.9</v>
      </c>
      <c r="H12" s="693">
        <f>H8</f>
        <v>57837844</v>
      </c>
      <c r="I12" s="694">
        <f>ROUND(H12*G12/100,2)</f>
        <v>1677297.48</v>
      </c>
      <c r="J12" s="463">
        <v>2.9</v>
      </c>
      <c r="K12" s="693">
        <f>K8</f>
        <v>58926531</v>
      </c>
      <c r="L12" s="694">
        <f>ROUND(K12*J12/100,2)</f>
        <v>1708869.4</v>
      </c>
    </row>
    <row r="13" spans="1:14" s="331" customFormat="1" ht="36" customHeight="1" x14ac:dyDescent="0.2">
      <c r="A13" s="452" t="s">
        <v>70</v>
      </c>
      <c r="B13" s="450" t="s">
        <v>604</v>
      </c>
      <c r="C13" s="592" t="s">
        <v>767</v>
      </c>
      <c r="D13" s="690">
        <v>0</v>
      </c>
      <c r="E13" s="693"/>
      <c r="F13" s="694"/>
      <c r="G13" s="690">
        <v>0</v>
      </c>
      <c r="H13" s="693"/>
      <c r="I13" s="694"/>
      <c r="J13" s="463">
        <v>0</v>
      </c>
      <c r="K13" s="693"/>
      <c r="L13" s="694"/>
    </row>
    <row r="14" spans="1:14" s="331" customFormat="1" ht="53.25" customHeight="1" x14ac:dyDescent="0.2">
      <c r="A14" s="452" t="s">
        <v>70</v>
      </c>
      <c r="B14" s="450" t="s">
        <v>605</v>
      </c>
      <c r="C14" s="592" t="s">
        <v>768</v>
      </c>
      <c r="D14" s="690">
        <v>0.2</v>
      </c>
      <c r="E14" s="693">
        <f>E8+E9</f>
        <v>57452199.289999999</v>
      </c>
      <c r="F14" s="694">
        <f>ROUND(E14*D14/100,2)</f>
        <v>114904.4</v>
      </c>
      <c r="G14" s="690">
        <v>0.2</v>
      </c>
      <c r="H14" s="693">
        <f>H17</f>
        <v>57837844</v>
      </c>
      <c r="I14" s="694">
        <f>ROUND(H14*G14/100,2)</f>
        <v>115675.69</v>
      </c>
      <c r="J14" s="463">
        <v>0.2</v>
      </c>
      <c r="K14" s="693">
        <f>K17</f>
        <v>58926531</v>
      </c>
      <c r="L14" s="694">
        <f>ROUND(K14*J14/100,2)</f>
        <v>117853.06</v>
      </c>
    </row>
    <row r="15" spans="1:14" s="331" customFormat="1" ht="53.25" customHeight="1" x14ac:dyDescent="0.2">
      <c r="A15" s="452" t="s">
        <v>70</v>
      </c>
      <c r="B15" s="450" t="s">
        <v>606</v>
      </c>
      <c r="C15" s="592" t="s">
        <v>769</v>
      </c>
      <c r="D15" s="690"/>
      <c r="E15" s="693"/>
      <c r="F15" s="694"/>
      <c r="G15" s="690"/>
      <c r="H15" s="693"/>
      <c r="I15" s="694"/>
      <c r="J15" s="463"/>
      <c r="K15" s="693"/>
      <c r="L15" s="694"/>
    </row>
    <row r="16" spans="1:14" s="331" customFormat="1" ht="53.25" customHeight="1" x14ac:dyDescent="0.2">
      <c r="A16" s="452" t="s">
        <v>70</v>
      </c>
      <c r="B16" s="450" t="s">
        <v>607</v>
      </c>
      <c r="C16" s="592" t="s">
        <v>769</v>
      </c>
      <c r="D16" s="690"/>
      <c r="E16" s="693"/>
      <c r="F16" s="694"/>
      <c r="G16" s="690"/>
      <c r="H16" s="693"/>
      <c r="I16" s="694"/>
      <c r="J16" s="463"/>
      <c r="K16" s="693"/>
      <c r="L16" s="694"/>
    </row>
    <row r="17" spans="1:14" s="331" customFormat="1" ht="53.25" customHeight="1" x14ac:dyDescent="0.2">
      <c r="A17" s="493" t="s">
        <v>70</v>
      </c>
      <c r="B17" s="502" t="s">
        <v>8</v>
      </c>
      <c r="C17" s="593" t="s">
        <v>770</v>
      </c>
      <c r="D17" s="590">
        <v>5.0999999999999996</v>
      </c>
      <c r="E17" s="695">
        <f>E8+E9</f>
        <v>57452199.289999999</v>
      </c>
      <c r="F17" s="696">
        <f>ROUND(E17*D17/100,2)</f>
        <v>2930062.16</v>
      </c>
      <c r="G17" s="590">
        <v>5.0999999999999996</v>
      </c>
      <c r="H17" s="695">
        <f>H8+H9</f>
        <v>57837844</v>
      </c>
      <c r="I17" s="696">
        <f>ROUND(H17*G17/100,2)</f>
        <v>2949730.04</v>
      </c>
      <c r="J17" s="588">
        <v>5.0999999999999996</v>
      </c>
      <c r="K17" s="695">
        <f>K8+K9</f>
        <v>58926531</v>
      </c>
      <c r="L17" s="696">
        <f>ROUND(K17*J17/100,2)</f>
        <v>3005253.08</v>
      </c>
      <c r="N17" s="354"/>
    </row>
    <row r="18" spans="1:14" s="331" customFormat="1" ht="27.75" customHeight="1" x14ac:dyDescent="0.2">
      <c r="A18" s="517"/>
      <c r="B18" s="518"/>
      <c r="C18" s="595" t="s">
        <v>492</v>
      </c>
      <c r="D18" s="519" t="s">
        <v>462</v>
      </c>
      <c r="E18" s="520" t="s">
        <v>462</v>
      </c>
      <c r="F18" s="700">
        <f>Титульный!E19+Титульный!E63+Титульный!E137</f>
        <v>17288297.780000001</v>
      </c>
      <c r="G18" s="519" t="s">
        <v>462</v>
      </c>
      <c r="H18" s="520" t="s">
        <v>462</v>
      </c>
      <c r="I18" s="700">
        <f>Титульный!F19+Титульный!F63+Титульный!F137</f>
        <v>17400970</v>
      </c>
      <c r="J18" s="521" t="s">
        <v>462</v>
      </c>
      <c r="K18" s="520" t="s">
        <v>462</v>
      </c>
      <c r="L18" s="700">
        <f>Титульный!G19+Титульный!G63+Титульный!G137</f>
        <v>17729756</v>
      </c>
    </row>
    <row r="19" spans="1:14" s="331" customFormat="1" ht="15.75" x14ac:dyDescent="0.2">
      <c r="A19" s="374"/>
      <c r="B19" s="506"/>
      <c r="E19" s="354"/>
      <c r="F19" s="354"/>
    </row>
    <row r="20" spans="1:14" s="374" customFormat="1" ht="15.75" x14ac:dyDescent="0.2">
      <c r="B20" s="506"/>
      <c r="E20" s="354"/>
      <c r="F20" s="354"/>
    </row>
    <row r="21" spans="1:14" s="374" customFormat="1" ht="15.75" x14ac:dyDescent="0.2">
      <c r="B21" s="506"/>
      <c r="E21" s="354"/>
      <c r="F21" s="354"/>
    </row>
    <row r="22" spans="1:14" s="449" customFormat="1" ht="36" customHeight="1" x14ac:dyDescent="0.2">
      <c r="A22" s="1158" t="s">
        <v>608</v>
      </c>
      <c r="B22" s="1158"/>
      <c r="C22" s="1158"/>
      <c r="D22" s="1158"/>
      <c r="E22" s="1158"/>
      <c r="F22" s="1158"/>
      <c r="G22" s="1158"/>
      <c r="H22" s="1158"/>
      <c r="I22" s="1158"/>
      <c r="J22" s="1158"/>
      <c r="K22" s="1158"/>
      <c r="L22" s="1158"/>
    </row>
    <row r="23" spans="1:14" s="331" customFormat="1" x14ac:dyDescent="0.2">
      <c r="B23" s="348"/>
      <c r="F23" s="354"/>
      <c r="G23" s="354"/>
    </row>
    <row r="24" spans="1:14" s="331" customFormat="1" ht="34.5" customHeight="1" x14ac:dyDescent="0.2">
      <c r="A24" s="1034" t="s">
        <v>598</v>
      </c>
      <c r="B24" s="1000" t="s">
        <v>484</v>
      </c>
      <c r="C24" s="1220" t="s">
        <v>550</v>
      </c>
      <c r="D24" s="1176" t="s">
        <v>830</v>
      </c>
      <c r="E24" s="1177"/>
      <c r="F24" s="1178"/>
      <c r="G24" s="1179" t="s">
        <v>824</v>
      </c>
      <c r="H24" s="1180"/>
      <c r="I24" s="1181"/>
      <c r="J24" s="1190" t="s">
        <v>822</v>
      </c>
      <c r="K24" s="1180"/>
      <c r="L24" s="1181"/>
    </row>
    <row r="25" spans="1:14" s="426" customFormat="1" ht="51" customHeight="1" x14ac:dyDescent="0.2">
      <c r="A25" s="1035"/>
      <c r="B25" s="1036"/>
      <c r="C25" s="1221"/>
      <c r="D25" s="405" t="s">
        <v>759</v>
      </c>
      <c r="E25" s="403" t="s">
        <v>760</v>
      </c>
      <c r="F25" s="406" t="s">
        <v>761</v>
      </c>
      <c r="G25" s="405" t="s">
        <v>759</v>
      </c>
      <c r="H25" s="403" t="s">
        <v>760</v>
      </c>
      <c r="I25" s="406" t="s">
        <v>761</v>
      </c>
      <c r="J25" s="402" t="s">
        <v>759</v>
      </c>
      <c r="K25" s="403" t="s">
        <v>760</v>
      </c>
      <c r="L25" s="406" t="s">
        <v>761</v>
      </c>
    </row>
    <row r="26" spans="1:14" s="331" customFormat="1" x14ac:dyDescent="0.2">
      <c r="A26" s="438" t="s">
        <v>6</v>
      </c>
      <c r="B26" s="439" t="s">
        <v>7</v>
      </c>
      <c r="C26" s="442" t="s">
        <v>8</v>
      </c>
      <c r="D26" s="438" t="s">
        <v>9</v>
      </c>
      <c r="E26" s="439" t="s">
        <v>10</v>
      </c>
      <c r="F26" s="443" t="s">
        <v>599</v>
      </c>
      <c r="G26" s="438" t="s">
        <v>466</v>
      </c>
      <c r="H26" s="439" t="s">
        <v>465</v>
      </c>
      <c r="I26" s="443" t="s">
        <v>600</v>
      </c>
      <c r="J26" s="441" t="s">
        <v>463</v>
      </c>
      <c r="K26" s="439" t="s">
        <v>468</v>
      </c>
      <c r="L26" s="443" t="s">
        <v>601</v>
      </c>
    </row>
    <row r="27" spans="1:14" s="331" customFormat="1" ht="36" customHeight="1" x14ac:dyDescent="0.2">
      <c r="A27" s="475" t="s">
        <v>70</v>
      </c>
      <c r="B27" s="504" t="s">
        <v>6</v>
      </c>
      <c r="C27" s="591" t="s">
        <v>762</v>
      </c>
      <c r="D27" s="589" t="s">
        <v>462</v>
      </c>
      <c r="E27" s="689" t="s">
        <v>462</v>
      </c>
      <c r="F27" s="692">
        <f>SUM(F28:F30)</f>
        <v>0</v>
      </c>
      <c r="G27" s="589" t="s">
        <v>462</v>
      </c>
      <c r="H27" s="689" t="s">
        <v>462</v>
      </c>
      <c r="I27" s="692">
        <f>SUM(I28:I30)</f>
        <v>0</v>
      </c>
      <c r="J27" s="587" t="s">
        <v>462</v>
      </c>
      <c r="K27" s="689" t="s">
        <v>462</v>
      </c>
      <c r="L27" s="692">
        <f>SUM(L28:L30)</f>
        <v>0</v>
      </c>
    </row>
    <row r="28" spans="1:14" s="331" customFormat="1" ht="27.75" customHeight="1" x14ac:dyDescent="0.2">
      <c r="A28" s="452" t="s">
        <v>70</v>
      </c>
      <c r="B28" s="450" t="s">
        <v>156</v>
      </c>
      <c r="C28" s="488" t="s">
        <v>763</v>
      </c>
      <c r="D28" s="690">
        <v>22</v>
      </c>
      <c r="E28" s="693">
        <f>ROUND(F28/D28*100,2)</f>
        <v>0</v>
      </c>
      <c r="F28" s="694">
        <f>ROUND($F$38*D28/30.2,2)</f>
        <v>0</v>
      </c>
      <c r="G28" s="690">
        <v>22</v>
      </c>
      <c r="H28" s="693">
        <f>ROUND(I28/G28*100,2)</f>
        <v>0</v>
      </c>
      <c r="I28" s="694">
        <f>ROUND($I$38*G28/30.2,2)</f>
        <v>0</v>
      </c>
      <c r="J28" s="463">
        <v>22</v>
      </c>
      <c r="K28" s="693">
        <f>ROUND(L28/J28*100,2)</f>
        <v>0</v>
      </c>
      <c r="L28" s="694">
        <f>ROUND($I$38*J28/30.2,2)</f>
        <v>0</v>
      </c>
    </row>
    <row r="29" spans="1:14" s="331" customFormat="1" ht="27.75" customHeight="1" x14ac:dyDescent="0.2">
      <c r="A29" s="452" t="s">
        <v>70</v>
      </c>
      <c r="B29" s="450" t="s">
        <v>158</v>
      </c>
      <c r="C29" s="488" t="s">
        <v>764</v>
      </c>
      <c r="D29" s="690">
        <v>10</v>
      </c>
      <c r="E29" s="693">
        <v>0</v>
      </c>
      <c r="F29" s="694">
        <v>0</v>
      </c>
      <c r="G29" s="690">
        <v>10</v>
      </c>
      <c r="H29" s="693">
        <v>0</v>
      </c>
      <c r="I29" s="694">
        <v>0</v>
      </c>
      <c r="J29" s="463">
        <v>10</v>
      </c>
      <c r="K29" s="693">
        <v>0</v>
      </c>
      <c r="L29" s="694">
        <v>0</v>
      </c>
    </row>
    <row r="30" spans="1:14" s="331" customFormat="1" ht="53.25" customHeight="1" x14ac:dyDescent="0.2">
      <c r="A30" s="452" t="s">
        <v>70</v>
      </c>
      <c r="B30" s="450" t="s">
        <v>160</v>
      </c>
      <c r="C30" s="592" t="s">
        <v>602</v>
      </c>
      <c r="D30" s="690"/>
      <c r="E30" s="693"/>
      <c r="F30" s="694"/>
      <c r="G30" s="690"/>
      <c r="H30" s="693"/>
      <c r="I30" s="694"/>
      <c r="J30" s="463"/>
      <c r="K30" s="693"/>
      <c r="L30" s="694"/>
    </row>
    <row r="31" spans="1:14" s="331" customFormat="1" ht="36" customHeight="1" x14ac:dyDescent="0.2">
      <c r="A31" s="452" t="s">
        <v>70</v>
      </c>
      <c r="B31" s="450" t="s">
        <v>7</v>
      </c>
      <c r="C31" s="592" t="s">
        <v>765</v>
      </c>
      <c r="D31" s="690" t="s">
        <v>462</v>
      </c>
      <c r="E31" s="693" t="s">
        <v>462</v>
      </c>
      <c r="F31" s="694">
        <f>SUM(F32:F36)</f>
        <v>0</v>
      </c>
      <c r="G31" s="690" t="s">
        <v>462</v>
      </c>
      <c r="H31" s="693" t="s">
        <v>462</v>
      </c>
      <c r="I31" s="694">
        <f>SUM(I32:I36)</f>
        <v>0</v>
      </c>
      <c r="J31" s="463" t="s">
        <v>462</v>
      </c>
      <c r="K31" s="693" t="s">
        <v>462</v>
      </c>
      <c r="L31" s="694">
        <f>SUM(L32:L36)</f>
        <v>0</v>
      </c>
    </row>
    <row r="32" spans="1:14" s="331" customFormat="1" ht="53.25" customHeight="1" x14ac:dyDescent="0.2">
      <c r="A32" s="452" t="s">
        <v>70</v>
      </c>
      <c r="B32" s="450" t="s">
        <v>603</v>
      </c>
      <c r="C32" s="592" t="s">
        <v>766</v>
      </c>
      <c r="D32" s="690">
        <v>2.9</v>
      </c>
      <c r="E32" s="693">
        <f>E28</f>
        <v>0</v>
      </c>
      <c r="F32" s="694">
        <f>ROUND($F$38*D32/30.2,2)</f>
        <v>0</v>
      </c>
      <c r="G32" s="690">
        <v>2.9</v>
      </c>
      <c r="H32" s="693">
        <f>H28</f>
        <v>0</v>
      </c>
      <c r="I32" s="694">
        <f>ROUND($I$38*G32/30.2,2)</f>
        <v>0</v>
      </c>
      <c r="J32" s="463">
        <v>2.9</v>
      </c>
      <c r="K32" s="693">
        <f>K28</f>
        <v>0</v>
      </c>
      <c r="L32" s="694">
        <f>ROUND($I$38*J32/30.2,2)</f>
        <v>0</v>
      </c>
    </row>
    <row r="33" spans="1:12" s="331" customFormat="1" ht="36" customHeight="1" x14ac:dyDescent="0.2">
      <c r="A33" s="452" t="s">
        <v>70</v>
      </c>
      <c r="B33" s="450" t="s">
        <v>604</v>
      </c>
      <c r="C33" s="592" t="s">
        <v>767</v>
      </c>
      <c r="D33" s="690">
        <v>0</v>
      </c>
      <c r="E33" s="693"/>
      <c r="F33" s="694"/>
      <c r="G33" s="690">
        <v>0</v>
      </c>
      <c r="H33" s="693"/>
      <c r="I33" s="694"/>
      <c r="J33" s="463">
        <v>0</v>
      </c>
      <c r="K33" s="693"/>
      <c r="L33" s="694"/>
    </row>
    <row r="34" spans="1:12" s="331" customFormat="1" ht="53.25" customHeight="1" x14ac:dyDescent="0.2">
      <c r="A34" s="452" t="s">
        <v>70</v>
      </c>
      <c r="B34" s="450" t="s">
        <v>605</v>
      </c>
      <c r="C34" s="592" t="s">
        <v>768</v>
      </c>
      <c r="D34" s="690">
        <v>0.2</v>
      </c>
      <c r="E34" s="693">
        <f>E28</f>
        <v>0</v>
      </c>
      <c r="F34" s="694">
        <f>ROUND($F$38*D34/30.2,2)</f>
        <v>0</v>
      </c>
      <c r="G34" s="690">
        <v>0.2</v>
      </c>
      <c r="H34" s="693">
        <f>H28</f>
        <v>0</v>
      </c>
      <c r="I34" s="694">
        <f>ROUND($I$38*G34/30.2,2)</f>
        <v>0</v>
      </c>
      <c r="J34" s="463">
        <v>0.2</v>
      </c>
      <c r="K34" s="693">
        <f>K28</f>
        <v>0</v>
      </c>
      <c r="L34" s="694">
        <f>ROUND($I$38*J34/30.2,2)</f>
        <v>0</v>
      </c>
    </row>
    <row r="35" spans="1:12" s="331" customFormat="1" ht="53.25" customHeight="1" x14ac:dyDescent="0.2">
      <c r="A35" s="452" t="s">
        <v>70</v>
      </c>
      <c r="B35" s="450" t="s">
        <v>606</v>
      </c>
      <c r="C35" s="592" t="s">
        <v>769</v>
      </c>
      <c r="D35" s="690"/>
      <c r="E35" s="693"/>
      <c r="F35" s="694"/>
      <c r="G35" s="690"/>
      <c r="H35" s="693"/>
      <c r="I35" s="694"/>
      <c r="J35" s="463"/>
      <c r="K35" s="693"/>
      <c r="L35" s="694"/>
    </row>
    <row r="36" spans="1:12" s="331" customFormat="1" ht="53.25" customHeight="1" x14ac:dyDescent="0.2">
      <c r="A36" s="452" t="s">
        <v>70</v>
      </c>
      <c r="B36" s="450" t="s">
        <v>607</v>
      </c>
      <c r="C36" s="592" t="s">
        <v>769</v>
      </c>
      <c r="D36" s="690"/>
      <c r="E36" s="693"/>
      <c r="F36" s="694"/>
      <c r="G36" s="690"/>
      <c r="H36" s="693"/>
      <c r="I36" s="694"/>
      <c r="J36" s="463"/>
      <c r="K36" s="693"/>
      <c r="L36" s="694"/>
    </row>
    <row r="37" spans="1:12" s="331" customFormat="1" ht="36.6" customHeight="1" x14ac:dyDescent="0.2">
      <c r="A37" s="493" t="s">
        <v>70</v>
      </c>
      <c r="B37" s="502" t="s">
        <v>8</v>
      </c>
      <c r="C37" s="593" t="s">
        <v>770</v>
      </c>
      <c r="D37" s="590">
        <v>5.0999999999999996</v>
      </c>
      <c r="E37" s="695">
        <f>E28</f>
        <v>0</v>
      </c>
      <c r="F37" s="696">
        <f>F38-F27-F31</f>
        <v>0</v>
      </c>
      <c r="G37" s="590">
        <v>5.0999999999999996</v>
      </c>
      <c r="H37" s="695">
        <f>H28</f>
        <v>0</v>
      </c>
      <c r="I37" s="696">
        <f>I38-I27-I31</f>
        <v>0</v>
      </c>
      <c r="J37" s="588">
        <v>5.0999999999999996</v>
      </c>
      <c r="K37" s="695">
        <f>K28</f>
        <v>0</v>
      </c>
      <c r="L37" s="696">
        <f>L38-L27-L31</f>
        <v>0</v>
      </c>
    </row>
    <row r="38" spans="1:12" s="331" customFormat="1" ht="27.75" customHeight="1" x14ac:dyDescent="0.2">
      <c r="A38" s="494"/>
      <c r="B38" s="458"/>
      <c r="C38" s="595" t="s">
        <v>492</v>
      </c>
      <c r="D38" s="519" t="s">
        <v>462</v>
      </c>
      <c r="E38" s="520" t="s">
        <v>462</v>
      </c>
      <c r="F38" s="700">
        <f>Титульный!E138</f>
        <v>0</v>
      </c>
      <c r="G38" s="519" t="s">
        <v>462</v>
      </c>
      <c r="H38" s="520" t="s">
        <v>462</v>
      </c>
      <c r="I38" s="700">
        <f>Титульный!F138</f>
        <v>0</v>
      </c>
      <c r="J38" s="521" t="s">
        <v>462</v>
      </c>
      <c r="K38" s="520" t="s">
        <v>462</v>
      </c>
      <c r="L38" s="700">
        <f>Титульный!G138</f>
        <v>0</v>
      </c>
    </row>
    <row r="39" spans="1:12" s="331" customFormat="1" x14ac:dyDescent="0.2">
      <c r="B39" s="348"/>
    </row>
    <row r="40" spans="1:12" s="331" customFormat="1" ht="36" customHeight="1" x14ac:dyDescent="0.2">
      <c r="A40" s="1222" t="s">
        <v>796</v>
      </c>
      <c r="B40" s="1222"/>
      <c r="C40" s="1222"/>
      <c r="D40" s="1222"/>
      <c r="E40" s="1222"/>
      <c r="F40" s="1222"/>
      <c r="G40" s="1222"/>
      <c r="H40" s="1222"/>
      <c r="I40" s="1222"/>
      <c r="J40" s="1222"/>
      <c r="K40" s="1222"/>
      <c r="L40" s="1222"/>
    </row>
    <row r="41" spans="1:12" s="331" customFormat="1" x14ac:dyDescent="0.2">
      <c r="A41" s="349"/>
      <c r="B41" s="348"/>
    </row>
    <row r="42" spans="1:12" s="374" customFormat="1" x14ac:dyDescent="0.2">
      <c r="A42" s="349"/>
      <c r="B42" s="348"/>
    </row>
    <row r="43" spans="1:12" s="331" customFormat="1" x14ac:dyDescent="0.2">
      <c r="B43" s="348"/>
    </row>
    <row r="44" spans="1:12" s="449" customFormat="1" ht="36" customHeight="1" x14ac:dyDescent="0.2">
      <c r="A44" s="989" t="s">
        <v>609</v>
      </c>
      <c r="B44" s="989"/>
      <c r="C44" s="989"/>
      <c r="D44" s="989"/>
      <c r="E44" s="989"/>
      <c r="F44" s="989"/>
      <c r="G44" s="989"/>
      <c r="H44" s="989"/>
      <c r="I44" s="989"/>
      <c r="J44" s="989"/>
      <c r="K44" s="989"/>
      <c r="L44" s="989"/>
    </row>
    <row r="45" spans="1:12" s="331" customFormat="1" x14ac:dyDescent="0.2">
      <c r="B45" s="348"/>
    </row>
    <row r="46" spans="1:12" s="331" customFormat="1" ht="33.75" customHeight="1" x14ac:dyDescent="0.2">
      <c r="A46" s="1034" t="s">
        <v>598</v>
      </c>
      <c r="B46" s="1000" t="s">
        <v>484</v>
      </c>
      <c r="C46" s="1220" t="s">
        <v>550</v>
      </c>
      <c r="D46" s="1176" t="s">
        <v>830</v>
      </c>
      <c r="E46" s="1177"/>
      <c r="F46" s="1178"/>
      <c r="G46" s="1179" t="s">
        <v>824</v>
      </c>
      <c r="H46" s="1180"/>
      <c r="I46" s="1181"/>
      <c r="J46" s="1190" t="s">
        <v>822</v>
      </c>
      <c r="K46" s="1180"/>
      <c r="L46" s="1181"/>
    </row>
    <row r="47" spans="1:12" s="331" customFormat="1" ht="37.5" customHeight="1" x14ac:dyDescent="0.2">
      <c r="A47" s="1035"/>
      <c r="B47" s="1036"/>
      <c r="C47" s="1221"/>
      <c r="D47" s="405" t="s">
        <v>771</v>
      </c>
      <c r="E47" s="403" t="s">
        <v>772</v>
      </c>
      <c r="F47" s="406" t="s">
        <v>761</v>
      </c>
      <c r="G47" s="405" t="s">
        <v>771</v>
      </c>
      <c r="H47" s="403" t="s">
        <v>772</v>
      </c>
      <c r="I47" s="406" t="s">
        <v>761</v>
      </c>
      <c r="J47" s="402" t="s">
        <v>771</v>
      </c>
      <c r="K47" s="403" t="s">
        <v>772</v>
      </c>
      <c r="L47" s="406" t="s">
        <v>761</v>
      </c>
    </row>
    <row r="48" spans="1:12" s="374" customFormat="1" x14ac:dyDescent="0.2">
      <c r="A48" s="423" t="s">
        <v>6</v>
      </c>
      <c r="B48" s="439" t="s">
        <v>7</v>
      </c>
      <c r="C48" s="422" t="s">
        <v>8</v>
      </c>
      <c r="D48" s="423" t="s">
        <v>9</v>
      </c>
      <c r="E48" s="421" t="s">
        <v>10</v>
      </c>
      <c r="F48" s="424" t="s">
        <v>554</v>
      </c>
      <c r="G48" s="423" t="s">
        <v>466</v>
      </c>
      <c r="H48" s="421" t="s">
        <v>465</v>
      </c>
      <c r="I48" s="424" t="s">
        <v>555</v>
      </c>
      <c r="J48" s="420" t="s">
        <v>463</v>
      </c>
      <c r="K48" s="421" t="s">
        <v>468</v>
      </c>
      <c r="L48" s="424" t="s">
        <v>556</v>
      </c>
    </row>
    <row r="49" spans="1:12" s="574" customFormat="1" ht="31.9" customHeight="1" x14ac:dyDescent="0.2">
      <c r="A49" s="475" t="s">
        <v>89</v>
      </c>
      <c r="B49" s="504" t="s">
        <v>6</v>
      </c>
      <c r="C49" s="591" t="s">
        <v>280</v>
      </c>
      <c r="D49" s="589">
        <f>ROUNDUP(F49/50000,0)</f>
        <v>0</v>
      </c>
      <c r="E49" s="582">
        <f>IFERROR(ROUND(F49/D49,2),0)</f>
        <v>0</v>
      </c>
      <c r="F49" s="692">
        <f>Титульный!E155+Титульный!E98+Титульный!E42</f>
        <v>0</v>
      </c>
      <c r="G49" s="589"/>
      <c r="H49" s="582"/>
      <c r="I49" s="692">
        <f>Титульный!F155+Титульный!F98+Титульный!F42</f>
        <v>0</v>
      </c>
      <c r="J49" s="587"/>
      <c r="K49" s="582"/>
      <c r="L49" s="692">
        <f>Титульный!G155+Титульный!G98+Титульный!G42</f>
        <v>0</v>
      </c>
    </row>
    <row r="50" spans="1:12" s="574" customFormat="1" ht="46.5" customHeight="1" x14ac:dyDescent="0.2">
      <c r="A50" s="452" t="s">
        <v>89</v>
      </c>
      <c r="B50" s="450" t="s">
        <v>7</v>
      </c>
      <c r="C50" s="762" t="s">
        <v>773</v>
      </c>
      <c r="D50" s="757">
        <f>ROUNDUP(F50/9000,0)</f>
        <v>0</v>
      </c>
      <c r="E50" s="758">
        <f>IFERROR(ROUND(F50/D50,2),0)</f>
        <v>0</v>
      </c>
      <c r="F50" s="694">
        <f>Титульный!E97</f>
        <v>0</v>
      </c>
      <c r="G50" s="690"/>
      <c r="H50" s="691"/>
      <c r="I50" s="694">
        <f>Титульный!F97</f>
        <v>0</v>
      </c>
      <c r="J50" s="463"/>
      <c r="K50" s="691"/>
      <c r="L50" s="694">
        <f>Титульный!G97</f>
        <v>0</v>
      </c>
    </row>
    <row r="51" spans="1:12" s="574" customFormat="1" ht="36.6" customHeight="1" x14ac:dyDescent="0.2">
      <c r="A51" s="493">
        <v>321</v>
      </c>
      <c r="B51" s="502">
        <v>3</v>
      </c>
      <c r="C51" s="593" t="s">
        <v>281</v>
      </c>
      <c r="D51" s="590"/>
      <c r="E51" s="585"/>
      <c r="F51" s="696">
        <f>Титульный!E156+Титульный!E99+Титульный!E43</f>
        <v>0</v>
      </c>
      <c r="G51" s="590"/>
      <c r="H51" s="585"/>
      <c r="I51" s="696">
        <f>Титульный!F156+Титульный!F99+Титульный!F43</f>
        <v>0</v>
      </c>
      <c r="J51" s="588"/>
      <c r="K51" s="585"/>
      <c r="L51" s="696">
        <f>Титульный!G156+Титульный!G99+Титульный!G43</f>
        <v>0</v>
      </c>
    </row>
    <row r="52" spans="1:12" s="574" customFormat="1" ht="27.75" customHeight="1" x14ac:dyDescent="0.2">
      <c r="A52" s="594"/>
      <c r="B52" s="458"/>
      <c r="C52" s="595" t="s">
        <v>492</v>
      </c>
      <c r="D52" s="519" t="s">
        <v>462</v>
      </c>
      <c r="E52" s="520" t="s">
        <v>462</v>
      </c>
      <c r="F52" s="700">
        <f>SUM(F49:F51)</f>
        <v>0</v>
      </c>
      <c r="G52" s="519" t="s">
        <v>462</v>
      </c>
      <c r="H52" s="520" t="s">
        <v>462</v>
      </c>
      <c r="I52" s="700">
        <f>SUM(I49:I51)</f>
        <v>0</v>
      </c>
      <c r="J52" s="521" t="s">
        <v>462</v>
      </c>
      <c r="K52" s="520" t="s">
        <v>462</v>
      </c>
      <c r="L52" s="700">
        <f>SUM(L49:L51)</f>
        <v>0</v>
      </c>
    </row>
    <row r="53" spans="1:12" s="331" customFormat="1" x14ac:dyDescent="0.2">
      <c r="B53" s="348"/>
    </row>
    <row r="54" spans="1:12" s="374" customFormat="1" x14ac:dyDescent="0.2">
      <c r="B54" s="348"/>
    </row>
    <row r="55" spans="1:12" s="374" customFormat="1" x14ac:dyDescent="0.2">
      <c r="B55" s="348"/>
    </row>
    <row r="56" spans="1:12" s="449" customFormat="1" ht="36" customHeight="1" x14ac:dyDescent="0.2">
      <c r="A56" s="989" t="s">
        <v>774</v>
      </c>
      <c r="B56" s="989"/>
      <c r="C56" s="989"/>
      <c r="D56" s="989"/>
      <c r="E56" s="989"/>
      <c r="F56" s="989"/>
      <c r="G56" s="989"/>
      <c r="H56" s="989"/>
      <c r="I56" s="989"/>
      <c r="J56" s="989"/>
      <c r="K56" s="989"/>
      <c r="L56" s="989"/>
    </row>
    <row r="57" spans="1:12" s="331" customFormat="1" x14ac:dyDescent="0.2">
      <c r="A57" s="600"/>
      <c r="B57" s="601"/>
      <c r="C57" s="600"/>
      <c r="D57" s="600"/>
      <c r="E57" s="600"/>
      <c r="F57" s="600"/>
      <c r="G57" s="600"/>
      <c r="H57" s="600"/>
      <c r="I57" s="600"/>
      <c r="J57" s="600"/>
      <c r="K57" s="600"/>
      <c r="L57" s="600"/>
    </row>
    <row r="58" spans="1:12" s="449" customFormat="1" ht="36" customHeight="1" x14ac:dyDescent="0.2">
      <c r="A58" s="1020" t="s">
        <v>775</v>
      </c>
      <c r="B58" s="1020"/>
      <c r="C58" s="1020"/>
      <c r="D58" s="1020"/>
      <c r="E58" s="1020"/>
      <c r="F58" s="1020"/>
      <c r="G58" s="1020"/>
      <c r="H58" s="1020"/>
      <c r="I58" s="1020"/>
      <c r="J58" s="1020"/>
      <c r="K58" s="1020"/>
      <c r="L58" s="1020"/>
    </row>
    <row r="59" spans="1:12" s="331" customFormat="1" x14ac:dyDescent="0.2">
      <c r="A59" s="600"/>
      <c r="B59" s="601"/>
      <c r="C59" s="600"/>
      <c r="D59" s="600"/>
      <c r="E59" s="600"/>
      <c r="F59" s="600"/>
      <c r="G59" s="600"/>
      <c r="H59" s="600"/>
      <c r="I59" s="600"/>
      <c r="J59" s="600"/>
      <c r="K59" s="600"/>
      <c r="L59" s="600"/>
    </row>
    <row r="60" spans="1:12" s="449" customFormat="1" ht="36" customHeight="1" x14ac:dyDescent="0.2">
      <c r="A60" s="1020" t="s">
        <v>756</v>
      </c>
      <c r="B60" s="1020"/>
      <c r="C60" s="1020"/>
      <c r="D60" s="1020"/>
      <c r="E60" s="1020"/>
      <c r="F60" s="1020"/>
      <c r="G60" s="1020"/>
      <c r="H60" s="1020"/>
      <c r="I60" s="1020"/>
      <c r="J60" s="1020"/>
      <c r="K60" s="1020"/>
      <c r="L60" s="1020"/>
    </row>
    <row r="61" spans="1:12" s="331" customFormat="1" x14ac:dyDescent="0.2">
      <c r="B61" s="348"/>
    </row>
    <row r="62" spans="1:12" s="374" customFormat="1" ht="33.75" customHeight="1" x14ac:dyDescent="0.2">
      <c r="A62" s="1034" t="s">
        <v>598</v>
      </c>
      <c r="B62" s="1000" t="s">
        <v>484</v>
      </c>
      <c r="C62" s="1220" t="s">
        <v>550</v>
      </c>
      <c r="D62" s="1176" t="s">
        <v>830</v>
      </c>
      <c r="E62" s="1177"/>
      <c r="F62" s="1178"/>
      <c r="G62" s="1179" t="s">
        <v>824</v>
      </c>
      <c r="H62" s="1180"/>
      <c r="I62" s="1181"/>
      <c r="J62" s="1190" t="s">
        <v>822</v>
      </c>
      <c r="K62" s="1180"/>
      <c r="L62" s="1181"/>
    </row>
    <row r="63" spans="1:12" s="331" customFormat="1" ht="38.25" x14ac:dyDescent="0.2">
      <c r="A63" s="1035"/>
      <c r="B63" s="1036"/>
      <c r="C63" s="1221"/>
      <c r="D63" s="498" t="s">
        <v>776</v>
      </c>
      <c r="E63" s="501" t="s">
        <v>777</v>
      </c>
      <c r="F63" s="541" t="s">
        <v>761</v>
      </c>
      <c r="G63" s="498" t="s">
        <v>776</v>
      </c>
      <c r="H63" s="501" t="s">
        <v>777</v>
      </c>
      <c r="I63" s="541" t="s">
        <v>761</v>
      </c>
      <c r="J63" s="568" t="s">
        <v>776</v>
      </c>
      <c r="K63" s="501" t="s">
        <v>777</v>
      </c>
      <c r="L63" s="541" t="s">
        <v>761</v>
      </c>
    </row>
    <row r="64" spans="1:12" s="374" customFormat="1" x14ac:dyDescent="0.2">
      <c r="A64" s="423" t="s">
        <v>6</v>
      </c>
      <c r="B64" s="439" t="s">
        <v>7</v>
      </c>
      <c r="C64" s="422" t="s">
        <v>8</v>
      </c>
      <c r="D64" s="423" t="s">
        <v>9</v>
      </c>
      <c r="E64" s="421" t="s">
        <v>10</v>
      </c>
      <c r="F64" s="424" t="s">
        <v>554</v>
      </c>
      <c r="G64" s="423" t="s">
        <v>466</v>
      </c>
      <c r="H64" s="421" t="s">
        <v>465</v>
      </c>
      <c r="I64" s="424" t="s">
        <v>555</v>
      </c>
      <c r="J64" s="420" t="s">
        <v>463</v>
      </c>
      <c r="K64" s="421" t="s">
        <v>468</v>
      </c>
      <c r="L64" s="424" t="s">
        <v>556</v>
      </c>
    </row>
    <row r="65" spans="1:14" s="331" customFormat="1" ht="27.75" customHeight="1" x14ac:dyDescent="0.2">
      <c r="A65" s="475" t="s">
        <v>104</v>
      </c>
      <c r="B65" s="504" t="s">
        <v>6</v>
      </c>
      <c r="C65" s="598" t="s">
        <v>291</v>
      </c>
      <c r="D65" s="721">
        <f>ROUND(F65/E65,0)</f>
        <v>256907</v>
      </c>
      <c r="E65" s="582">
        <v>2.2000000000000002</v>
      </c>
      <c r="F65" s="692">
        <f>Титульный!E101</f>
        <v>565196</v>
      </c>
      <c r="G65" s="721">
        <f>ROUND(I65/H65,0)</f>
        <v>248592</v>
      </c>
      <c r="H65" s="582">
        <v>2.2000000000000002</v>
      </c>
      <c r="I65" s="692">
        <f>Титульный!F101</f>
        <v>546902</v>
      </c>
      <c r="J65" s="723">
        <f>ROUND(L65/K65,0)</f>
        <v>240276</v>
      </c>
      <c r="K65" s="582">
        <v>2.2000000000000002</v>
      </c>
      <c r="L65" s="692">
        <f>Титульный!G101</f>
        <v>528608</v>
      </c>
    </row>
    <row r="66" spans="1:14" s="331" customFormat="1" ht="27.75" customHeight="1" x14ac:dyDescent="0.2">
      <c r="A66" s="493" t="s">
        <v>104</v>
      </c>
      <c r="B66" s="502" t="s">
        <v>7</v>
      </c>
      <c r="C66" s="482" t="s">
        <v>292</v>
      </c>
      <c r="D66" s="722">
        <f>ROUND(F66/E66,0)</f>
        <v>1063329</v>
      </c>
      <c r="E66" s="585">
        <v>1.5</v>
      </c>
      <c r="F66" s="696">
        <f>Титульный!E102</f>
        <v>1594994</v>
      </c>
      <c r="G66" s="722">
        <f>ROUND(I66/H66,0)</f>
        <v>1063329</v>
      </c>
      <c r="H66" s="585">
        <v>1.5</v>
      </c>
      <c r="I66" s="696">
        <f>Титульный!F102</f>
        <v>1594994</v>
      </c>
      <c r="J66" s="724">
        <f>ROUND(L66/K66,0)</f>
        <v>1063329</v>
      </c>
      <c r="K66" s="585">
        <v>1.5</v>
      </c>
      <c r="L66" s="696">
        <f>Титульный!G102</f>
        <v>1594994</v>
      </c>
      <c r="N66" s="354"/>
    </row>
    <row r="67" spans="1:14" s="331" customFormat="1" ht="27.75" customHeight="1" x14ac:dyDescent="0.2">
      <c r="A67" s="457"/>
      <c r="B67" s="458"/>
      <c r="C67" s="595" t="s">
        <v>611</v>
      </c>
      <c r="D67" s="519" t="s">
        <v>462</v>
      </c>
      <c r="E67" s="520" t="s">
        <v>462</v>
      </c>
      <c r="F67" s="700">
        <f>F65+F66</f>
        <v>2160190</v>
      </c>
      <c r="G67" s="519" t="s">
        <v>462</v>
      </c>
      <c r="H67" s="520" t="s">
        <v>462</v>
      </c>
      <c r="I67" s="700">
        <f>I65+I66</f>
        <v>2141896</v>
      </c>
      <c r="J67" s="521" t="s">
        <v>462</v>
      </c>
      <c r="K67" s="520" t="s">
        <v>462</v>
      </c>
      <c r="L67" s="700">
        <f>L65+L66</f>
        <v>2123602</v>
      </c>
    </row>
    <row r="68" spans="1:14" s="331" customFormat="1" x14ac:dyDescent="0.2">
      <c r="B68" s="348"/>
    </row>
    <row r="69" spans="1:14" s="374" customFormat="1" x14ac:dyDescent="0.2">
      <c r="B69" s="348"/>
    </row>
    <row r="70" spans="1:14" s="374" customFormat="1" x14ac:dyDescent="0.2">
      <c r="B70" s="348"/>
    </row>
    <row r="71" spans="1:14" s="449" customFormat="1" ht="36" customHeight="1" x14ac:dyDescent="0.2">
      <c r="A71" s="1020" t="s">
        <v>778</v>
      </c>
      <c r="B71" s="1020"/>
      <c r="C71" s="1020"/>
      <c r="D71" s="1020"/>
      <c r="E71" s="1020"/>
      <c r="F71" s="1020"/>
      <c r="G71" s="1020"/>
      <c r="H71" s="1020"/>
      <c r="I71" s="1020"/>
      <c r="J71" s="1020"/>
      <c r="K71" s="1020"/>
    </row>
    <row r="72" spans="1:14" s="331" customFormat="1" x14ac:dyDescent="0.2">
      <c r="B72" s="348"/>
    </row>
    <row r="73" spans="1:14" s="374" customFormat="1" ht="33.75" customHeight="1" x14ac:dyDescent="0.2">
      <c r="A73" s="1034" t="s">
        <v>598</v>
      </c>
      <c r="B73" s="1000" t="s">
        <v>484</v>
      </c>
      <c r="C73" s="1220" t="s">
        <v>550</v>
      </c>
      <c r="D73" s="1176" t="s">
        <v>830</v>
      </c>
      <c r="E73" s="1177"/>
      <c r="F73" s="1178"/>
      <c r="G73" s="1179" t="s">
        <v>824</v>
      </c>
      <c r="H73" s="1180"/>
      <c r="I73" s="1181"/>
      <c r="J73" s="1190" t="s">
        <v>822</v>
      </c>
      <c r="K73" s="1180"/>
      <c r="L73" s="1181"/>
    </row>
    <row r="74" spans="1:14" s="374" customFormat="1" ht="38.25" x14ac:dyDescent="0.2">
      <c r="A74" s="1035"/>
      <c r="B74" s="1036"/>
      <c r="C74" s="1221"/>
      <c r="D74" s="608" t="s">
        <v>779</v>
      </c>
      <c r="E74" s="609" t="s">
        <v>780</v>
      </c>
      <c r="F74" s="541" t="s">
        <v>761</v>
      </c>
      <c r="G74" s="608" t="s">
        <v>779</v>
      </c>
      <c r="H74" s="609" t="s">
        <v>780</v>
      </c>
      <c r="I74" s="541" t="s">
        <v>761</v>
      </c>
      <c r="J74" s="608" t="s">
        <v>779</v>
      </c>
      <c r="K74" s="609" t="s">
        <v>780</v>
      </c>
      <c r="L74" s="541" t="s">
        <v>761</v>
      </c>
    </row>
    <row r="75" spans="1:14" s="374" customFormat="1" x14ac:dyDescent="0.2">
      <c r="A75" s="423" t="s">
        <v>6</v>
      </c>
      <c r="B75" s="439" t="s">
        <v>7</v>
      </c>
      <c r="C75" s="422" t="s">
        <v>8</v>
      </c>
      <c r="D75" s="423" t="s">
        <v>9</v>
      </c>
      <c r="E75" s="421" t="s">
        <v>10</v>
      </c>
      <c r="F75" s="424" t="s">
        <v>554</v>
      </c>
      <c r="G75" s="423" t="s">
        <v>466</v>
      </c>
      <c r="H75" s="421" t="s">
        <v>465</v>
      </c>
      <c r="I75" s="424" t="s">
        <v>555</v>
      </c>
      <c r="J75" s="420" t="s">
        <v>463</v>
      </c>
      <c r="K75" s="421" t="s">
        <v>468</v>
      </c>
      <c r="L75" s="424" t="s">
        <v>556</v>
      </c>
    </row>
    <row r="76" spans="1:14" s="374" customFormat="1" ht="27.75" customHeight="1" x14ac:dyDescent="0.2">
      <c r="A76" s="475">
        <v>852</v>
      </c>
      <c r="B76" s="504" t="s">
        <v>6</v>
      </c>
      <c r="C76" s="598" t="s">
        <v>282</v>
      </c>
      <c r="D76" s="688">
        <f>IFERROR(ROUND(F76/E76,2),0)</f>
        <v>0</v>
      </c>
      <c r="E76" s="582">
        <f>ROUNDUP(F76/5000,0)</f>
        <v>0</v>
      </c>
      <c r="F76" s="692">
        <f>Титульный!E46+Титульный!E103</f>
        <v>0</v>
      </c>
      <c r="G76" s="688">
        <f>IFERROR(ROUND(I76/H76,2),0)</f>
        <v>0</v>
      </c>
      <c r="H76" s="582">
        <f>ROUNDUP(I76/5000,0)</f>
        <v>0</v>
      </c>
      <c r="I76" s="692">
        <f>Титульный!F46+Титульный!F103</f>
        <v>0</v>
      </c>
      <c r="J76" s="707">
        <v>2575</v>
      </c>
      <c r="K76" s="582">
        <v>1</v>
      </c>
      <c r="L76" s="692">
        <f>Титульный!G46+Титульный!G103</f>
        <v>0</v>
      </c>
    </row>
    <row r="77" spans="1:14" s="374" customFormat="1" ht="27.75" customHeight="1" x14ac:dyDescent="0.25">
      <c r="A77" s="493">
        <v>852</v>
      </c>
      <c r="B77" s="502" t="s">
        <v>7</v>
      </c>
      <c r="C77" s="482"/>
      <c r="D77" s="709"/>
      <c r="E77" s="597"/>
      <c r="F77" s="596"/>
      <c r="G77" s="709"/>
      <c r="H77" s="597"/>
      <c r="I77" s="596"/>
      <c r="J77" s="710"/>
      <c r="K77" s="597"/>
      <c r="L77" s="596"/>
      <c r="N77" s="354"/>
    </row>
    <row r="78" spans="1:14" s="374" customFormat="1" ht="27.75" customHeight="1" x14ac:dyDescent="0.2">
      <c r="A78" s="457"/>
      <c r="B78" s="458"/>
      <c r="C78" s="595" t="s">
        <v>611</v>
      </c>
      <c r="D78" s="699" t="s">
        <v>462</v>
      </c>
      <c r="E78" s="520" t="s">
        <v>462</v>
      </c>
      <c r="F78" s="700">
        <f>SUM(F76:F77)</f>
        <v>0</v>
      </c>
      <c r="G78" s="699" t="s">
        <v>462</v>
      </c>
      <c r="H78" s="520" t="s">
        <v>462</v>
      </c>
      <c r="I78" s="700">
        <f>SUM(I76:I77)</f>
        <v>0</v>
      </c>
      <c r="J78" s="701" t="s">
        <v>462</v>
      </c>
      <c r="K78" s="520" t="s">
        <v>462</v>
      </c>
      <c r="L78" s="700">
        <f>SUM(L76:L77)</f>
        <v>0</v>
      </c>
    </row>
    <row r="79" spans="1:14" s="331" customFormat="1" ht="12" customHeight="1" x14ac:dyDescent="0.2">
      <c r="A79" s="333"/>
      <c r="B79" s="348"/>
      <c r="C79" s="333"/>
      <c r="D79" s="333"/>
      <c r="E79" s="333"/>
      <c r="F79" s="333"/>
      <c r="G79" s="333"/>
      <c r="H79" s="333"/>
      <c r="I79" s="333"/>
      <c r="J79" s="333"/>
      <c r="K79" s="333"/>
      <c r="L79" s="333"/>
    </row>
    <row r="80" spans="1:14" s="331" customFormat="1" x14ac:dyDescent="0.2">
      <c r="A80" s="333"/>
      <c r="B80" s="348"/>
      <c r="C80" s="333"/>
      <c r="D80" s="333"/>
      <c r="E80" s="333"/>
      <c r="F80" s="333"/>
      <c r="G80" s="333"/>
      <c r="H80" s="333"/>
      <c r="I80" s="333"/>
      <c r="J80" s="333"/>
      <c r="K80" s="333"/>
      <c r="L80" s="333"/>
    </row>
    <row r="81" spans="1:12" s="374" customFormat="1" x14ac:dyDescent="0.2">
      <c r="A81" s="333"/>
      <c r="B81" s="348"/>
      <c r="C81" s="333"/>
      <c r="D81" s="333"/>
      <c r="E81" s="333"/>
      <c r="F81" s="333"/>
      <c r="G81" s="333"/>
      <c r="H81" s="333"/>
      <c r="I81" s="333"/>
      <c r="J81" s="333"/>
      <c r="K81" s="333"/>
      <c r="L81" s="333"/>
    </row>
    <row r="82" spans="1:12" s="426" customFormat="1" ht="34.5" customHeight="1" x14ac:dyDescent="0.2">
      <c r="A82" s="1034" t="s">
        <v>598</v>
      </c>
      <c r="B82" s="1000" t="s">
        <v>484</v>
      </c>
      <c r="C82" s="1080" t="s">
        <v>610</v>
      </c>
      <c r="D82" s="1176" t="s">
        <v>830</v>
      </c>
      <c r="E82" s="1177"/>
      <c r="F82" s="1178"/>
      <c r="G82" s="1179" t="s">
        <v>824</v>
      </c>
      <c r="H82" s="1180"/>
      <c r="I82" s="1181"/>
      <c r="J82" s="1190" t="s">
        <v>822</v>
      </c>
      <c r="K82" s="1180"/>
      <c r="L82" s="1181"/>
    </row>
    <row r="83" spans="1:12" s="426" customFormat="1" ht="38.25" x14ac:dyDescent="0.2">
      <c r="A83" s="1035"/>
      <c r="B83" s="1036"/>
      <c r="C83" s="1081"/>
      <c r="D83" s="608" t="s">
        <v>779</v>
      </c>
      <c r="E83" s="609" t="s">
        <v>780</v>
      </c>
      <c r="F83" s="610" t="s">
        <v>761</v>
      </c>
      <c r="G83" s="608" t="s">
        <v>779</v>
      </c>
      <c r="H83" s="609" t="s">
        <v>780</v>
      </c>
      <c r="I83" s="610" t="s">
        <v>761</v>
      </c>
      <c r="J83" s="608" t="s">
        <v>779</v>
      </c>
      <c r="K83" s="609" t="s">
        <v>780</v>
      </c>
      <c r="L83" s="610" t="s">
        <v>761</v>
      </c>
    </row>
    <row r="84" spans="1:12" s="426" customFormat="1" x14ac:dyDescent="0.2">
      <c r="A84" s="383" t="s">
        <v>6</v>
      </c>
      <c r="B84" s="744" t="s">
        <v>7</v>
      </c>
      <c r="C84" s="759" t="s">
        <v>8</v>
      </c>
      <c r="D84" s="383" t="s">
        <v>9</v>
      </c>
      <c r="E84" s="702" t="s">
        <v>10</v>
      </c>
      <c r="F84" s="703" t="s">
        <v>554</v>
      </c>
      <c r="G84" s="383" t="s">
        <v>466</v>
      </c>
      <c r="H84" s="702" t="s">
        <v>465</v>
      </c>
      <c r="I84" s="703" t="s">
        <v>555</v>
      </c>
      <c r="J84" s="383" t="s">
        <v>463</v>
      </c>
      <c r="K84" s="702" t="s">
        <v>468</v>
      </c>
      <c r="L84" s="703" t="s">
        <v>556</v>
      </c>
    </row>
    <row r="85" spans="1:12" s="426" customFormat="1" ht="27.75" customHeight="1" x14ac:dyDescent="0.2">
      <c r="A85" s="475">
        <v>350</v>
      </c>
      <c r="B85" s="504" t="s">
        <v>6</v>
      </c>
      <c r="C85" s="591" t="s">
        <v>290</v>
      </c>
      <c r="D85" s="752">
        <f>IFERROR(ROUND(F85/E85,2),0)</f>
        <v>0</v>
      </c>
      <c r="E85" s="582">
        <f>ROUND(F85/20000,0)</f>
        <v>0</v>
      </c>
      <c r="F85" s="754">
        <f>Титульный!E157+Титульный!E100</f>
        <v>0</v>
      </c>
      <c r="G85" s="589">
        <f>IFERROR(ROUND(I85/H85,2),0)</f>
        <v>0</v>
      </c>
      <c r="H85" s="582">
        <f>ROUND(I85/50000,0)</f>
        <v>0</v>
      </c>
      <c r="I85" s="754">
        <f>Титульный!F157+Титульный!F100</f>
        <v>0</v>
      </c>
      <c r="J85" s="587">
        <f>IFERROR(ROUND(L85/K85,2),0)</f>
        <v>0</v>
      </c>
      <c r="K85" s="582">
        <f>ROUND(L85/50000,0)</f>
        <v>0</v>
      </c>
      <c r="L85" s="754">
        <f>Титульный!G157+Титульный!G100</f>
        <v>0</v>
      </c>
    </row>
    <row r="86" spans="1:12" s="426" customFormat="1" ht="29.45" customHeight="1" x14ac:dyDescent="0.2">
      <c r="A86" s="452"/>
      <c r="B86" s="450">
        <v>2</v>
      </c>
      <c r="C86" s="708"/>
      <c r="D86" s="755"/>
      <c r="E86" s="758"/>
      <c r="F86" s="748"/>
      <c r="G86" s="757"/>
      <c r="H86" s="758"/>
      <c r="I86" s="748"/>
      <c r="J86" s="463"/>
      <c r="K86" s="758"/>
      <c r="L86" s="748"/>
    </row>
    <row r="87" spans="1:12" s="426" customFormat="1" ht="27.75" customHeight="1" x14ac:dyDescent="0.2">
      <c r="A87" s="452"/>
      <c r="B87" s="450">
        <v>3</v>
      </c>
      <c r="C87" s="708"/>
      <c r="D87" s="698"/>
      <c r="E87" s="691"/>
      <c r="F87" s="694"/>
      <c r="G87" s="690"/>
      <c r="H87" s="691"/>
      <c r="I87" s="694"/>
      <c r="J87" s="463"/>
      <c r="K87" s="691"/>
      <c r="L87" s="694"/>
    </row>
    <row r="88" spans="1:12" s="426" customFormat="1" ht="27.75" customHeight="1" x14ac:dyDescent="0.2">
      <c r="A88" s="493"/>
      <c r="B88" s="502">
        <v>4</v>
      </c>
      <c r="C88" s="705"/>
      <c r="D88" s="697"/>
      <c r="E88" s="585"/>
      <c r="F88" s="696"/>
      <c r="G88" s="590"/>
      <c r="H88" s="585"/>
      <c r="I88" s="696"/>
      <c r="J88" s="588"/>
      <c r="K88" s="585"/>
      <c r="L88" s="696"/>
    </row>
    <row r="89" spans="1:12" s="426" customFormat="1" ht="27.75" customHeight="1" x14ac:dyDescent="0.2">
      <c r="A89" s="457"/>
      <c r="B89" s="704"/>
      <c r="C89" s="706" t="s">
        <v>611</v>
      </c>
      <c r="D89" s="519" t="s">
        <v>462</v>
      </c>
      <c r="E89" s="520" t="s">
        <v>462</v>
      </c>
      <c r="F89" s="700">
        <f>Титульный!E157</f>
        <v>0</v>
      </c>
      <c r="G89" s="519" t="s">
        <v>462</v>
      </c>
      <c r="H89" s="520" t="s">
        <v>462</v>
      </c>
      <c r="I89" s="700">
        <f>Титульный!F157</f>
        <v>0</v>
      </c>
      <c r="J89" s="521" t="s">
        <v>462</v>
      </c>
      <c r="K89" s="520" t="s">
        <v>462</v>
      </c>
      <c r="L89" s="700">
        <f>Титульный!G157</f>
        <v>0</v>
      </c>
    </row>
    <row r="90" spans="1:12" s="426" customFormat="1" x14ac:dyDescent="0.2">
      <c r="A90" s="333"/>
      <c r="B90" s="348"/>
      <c r="C90" s="333"/>
      <c r="D90" s="333"/>
      <c r="E90" s="333"/>
      <c r="F90" s="333"/>
      <c r="G90" s="333"/>
      <c r="H90" s="333"/>
      <c r="I90" s="333"/>
      <c r="J90" s="333"/>
      <c r="K90" s="333"/>
      <c r="L90" s="333"/>
    </row>
    <row r="91" spans="1:12" s="426" customFormat="1" x14ac:dyDescent="0.2">
      <c r="A91" s="333"/>
      <c r="B91" s="348"/>
      <c r="C91" s="333"/>
      <c r="D91" s="333"/>
      <c r="E91" s="333"/>
      <c r="F91" s="333"/>
      <c r="G91" s="333"/>
      <c r="H91" s="333"/>
      <c r="I91" s="333"/>
      <c r="J91" s="333"/>
      <c r="K91" s="333"/>
      <c r="L91" s="333"/>
    </row>
    <row r="92" spans="1:12" s="426" customFormat="1" x14ac:dyDescent="0.2">
      <c r="A92" s="333"/>
      <c r="B92" s="348"/>
      <c r="C92" s="333"/>
      <c r="D92" s="333"/>
      <c r="E92" s="333"/>
      <c r="F92" s="333"/>
      <c r="G92" s="333"/>
      <c r="H92" s="333"/>
      <c r="I92" s="333"/>
      <c r="J92" s="333"/>
      <c r="K92" s="333"/>
      <c r="L92" s="333"/>
    </row>
    <row r="93" spans="1:12" s="449" customFormat="1" ht="36" customHeight="1" x14ac:dyDescent="0.2">
      <c r="A93" s="1020" t="s">
        <v>781</v>
      </c>
      <c r="B93" s="1020"/>
      <c r="C93" s="1020"/>
      <c r="D93" s="1020"/>
      <c r="E93" s="1020"/>
      <c r="F93" s="1020"/>
      <c r="G93" s="1020"/>
      <c r="H93" s="1020"/>
      <c r="I93" s="1020"/>
      <c r="J93" s="1020"/>
      <c r="K93" s="1020"/>
      <c r="L93" s="1020"/>
    </row>
    <row r="94" spans="1:12" s="331" customFormat="1" x14ac:dyDescent="0.2">
      <c r="B94" s="348"/>
    </row>
    <row r="95" spans="1:12" s="331" customFormat="1" ht="34.5" customHeight="1" x14ac:dyDescent="0.2">
      <c r="A95" s="1034" t="s">
        <v>598</v>
      </c>
      <c r="B95" s="1000" t="s">
        <v>484</v>
      </c>
      <c r="C95" s="1080" t="s">
        <v>610</v>
      </c>
      <c r="D95" s="1176" t="s">
        <v>830</v>
      </c>
      <c r="E95" s="1177"/>
      <c r="F95" s="1178"/>
      <c r="G95" s="1179" t="s">
        <v>824</v>
      </c>
      <c r="H95" s="1180"/>
      <c r="I95" s="1181"/>
      <c r="J95" s="1190" t="s">
        <v>822</v>
      </c>
      <c r="K95" s="1180"/>
      <c r="L95" s="1181"/>
    </row>
    <row r="96" spans="1:12" s="331" customFormat="1" ht="38.25" x14ac:dyDescent="0.2">
      <c r="A96" s="1035"/>
      <c r="B96" s="1036"/>
      <c r="C96" s="1081"/>
      <c r="D96" s="608" t="s">
        <v>779</v>
      </c>
      <c r="E96" s="609" t="s">
        <v>780</v>
      </c>
      <c r="F96" s="610" t="s">
        <v>761</v>
      </c>
      <c r="G96" s="608" t="s">
        <v>779</v>
      </c>
      <c r="H96" s="609" t="s">
        <v>780</v>
      </c>
      <c r="I96" s="610" t="s">
        <v>761</v>
      </c>
      <c r="J96" s="608" t="s">
        <v>779</v>
      </c>
      <c r="K96" s="609" t="s">
        <v>780</v>
      </c>
      <c r="L96" s="610" t="s">
        <v>761</v>
      </c>
    </row>
    <row r="97" spans="1:12" s="331" customFormat="1" x14ac:dyDescent="0.2">
      <c r="A97" s="383" t="s">
        <v>6</v>
      </c>
      <c r="B97" s="744" t="s">
        <v>7</v>
      </c>
      <c r="C97" s="759" t="s">
        <v>8</v>
      </c>
      <c r="D97" s="383" t="s">
        <v>9</v>
      </c>
      <c r="E97" s="436" t="s">
        <v>10</v>
      </c>
      <c r="F97" s="437" t="s">
        <v>554</v>
      </c>
      <c r="G97" s="383" t="s">
        <v>466</v>
      </c>
      <c r="H97" s="436" t="s">
        <v>465</v>
      </c>
      <c r="I97" s="437" t="s">
        <v>555</v>
      </c>
      <c r="J97" s="383" t="s">
        <v>463</v>
      </c>
      <c r="K97" s="436" t="s">
        <v>468</v>
      </c>
      <c r="L97" s="437" t="s">
        <v>556</v>
      </c>
    </row>
    <row r="98" spans="1:12" s="331" customFormat="1" ht="32.450000000000003" customHeight="1" x14ac:dyDescent="0.2">
      <c r="A98" s="475" t="s">
        <v>109</v>
      </c>
      <c r="B98" s="504" t="s">
        <v>6</v>
      </c>
      <c r="C98" s="591" t="s">
        <v>795</v>
      </c>
      <c r="D98" s="688">
        <f>IFERROR(ROUND(F98/E98,2),0)</f>
        <v>0</v>
      </c>
      <c r="E98" s="582">
        <f>ROUNDUP(F98/30000,0)</f>
        <v>0</v>
      </c>
      <c r="F98" s="692">
        <f>Титульный!E47+Титульный!E104</f>
        <v>0</v>
      </c>
      <c r="G98" s="589">
        <f>IFERROR(ROUND(I98/H98,2),0)</f>
        <v>0</v>
      </c>
      <c r="H98" s="582">
        <f>ROUNDUP(I98/30000,0)</f>
        <v>0</v>
      </c>
      <c r="I98" s="692">
        <f>Титульный!F47+Титульный!F104</f>
        <v>0</v>
      </c>
      <c r="J98" s="587">
        <f>IFERROR(ROUND(L98/K98,2),0)</f>
        <v>0</v>
      </c>
      <c r="K98" s="582">
        <f>ROUNDUP(L98/30000,0)</f>
        <v>0</v>
      </c>
      <c r="L98" s="692">
        <f>Титульный!G47+Титульный!G104</f>
        <v>0</v>
      </c>
    </row>
    <row r="99" spans="1:12" s="331" customFormat="1" ht="79.900000000000006" customHeight="1" x14ac:dyDescent="0.2">
      <c r="A99" s="452" t="s">
        <v>109</v>
      </c>
      <c r="B99" s="450">
        <v>2</v>
      </c>
      <c r="C99" s="592" t="s">
        <v>807</v>
      </c>
      <c r="D99" s="698">
        <f t="shared" ref="D99:D101" si="0">IFERROR(ROUND(F99/E99,2),0)</f>
        <v>3000</v>
      </c>
      <c r="E99" s="691">
        <f t="shared" ref="E99:E100" si="1">ROUNDUP(F99/30000,0)</f>
        <v>1</v>
      </c>
      <c r="F99" s="694">
        <f>Титульный!E48+Титульный!E105</f>
        <v>3000</v>
      </c>
      <c r="G99" s="690">
        <f t="shared" ref="G99:G101" si="2">IFERROR(ROUND(I99/H99,2),0)</f>
        <v>3000</v>
      </c>
      <c r="H99" s="691">
        <f t="shared" ref="H99:H100" si="3">ROUNDUP(I99/30000,0)</f>
        <v>1</v>
      </c>
      <c r="I99" s="694">
        <f>Титульный!F48+Титульный!F105</f>
        <v>3000</v>
      </c>
      <c r="J99" s="463">
        <f t="shared" ref="J99:J101" si="4">IFERROR(ROUND(L99/K99,2),0)</f>
        <v>3000</v>
      </c>
      <c r="K99" s="691">
        <f t="shared" ref="K99:K100" si="5">ROUNDUP(L99/30000,0)</f>
        <v>1</v>
      </c>
      <c r="L99" s="694">
        <f>Титульный!G48+Титульный!G105</f>
        <v>3000</v>
      </c>
    </row>
    <row r="100" spans="1:12" s="343" customFormat="1" ht="32.450000000000003" customHeight="1" x14ac:dyDescent="0.2">
      <c r="A100" s="452" t="s">
        <v>109</v>
      </c>
      <c r="B100" s="450">
        <v>3</v>
      </c>
      <c r="C100" s="592" t="s">
        <v>758</v>
      </c>
      <c r="D100" s="698">
        <f t="shared" si="0"/>
        <v>0</v>
      </c>
      <c r="E100" s="691">
        <f t="shared" si="1"/>
        <v>0</v>
      </c>
      <c r="F100" s="694">
        <f>Титульный!E49+Титульный!E106</f>
        <v>0</v>
      </c>
      <c r="G100" s="690">
        <f t="shared" si="2"/>
        <v>0</v>
      </c>
      <c r="H100" s="691">
        <f t="shared" si="3"/>
        <v>0</v>
      </c>
      <c r="I100" s="694">
        <f>Титульный!F49+Титульный!F106</f>
        <v>0</v>
      </c>
      <c r="J100" s="463">
        <f t="shared" si="4"/>
        <v>0</v>
      </c>
      <c r="K100" s="691">
        <f t="shared" si="5"/>
        <v>0</v>
      </c>
      <c r="L100" s="694">
        <f>Титульный!G49+Титульный!G106</f>
        <v>0</v>
      </c>
    </row>
    <row r="101" spans="1:12" s="331" customFormat="1" ht="32.450000000000003" customHeight="1" x14ac:dyDescent="0.2">
      <c r="A101" s="493" t="s">
        <v>109</v>
      </c>
      <c r="B101" s="502">
        <v>4</v>
      </c>
      <c r="C101" s="593" t="s">
        <v>808</v>
      </c>
      <c r="D101" s="697">
        <f t="shared" si="0"/>
        <v>0</v>
      </c>
      <c r="E101" s="585">
        <f>ROUNDUP(F101/40,0)</f>
        <v>0</v>
      </c>
      <c r="F101" s="696">
        <f>Титульный!E50+Титульный!E107</f>
        <v>0</v>
      </c>
      <c r="G101" s="590">
        <f t="shared" si="2"/>
        <v>0</v>
      </c>
      <c r="H101" s="585">
        <f>ROUNDUP(I101/40,0)</f>
        <v>0</v>
      </c>
      <c r="I101" s="696">
        <f>Титульный!F50+Титульный!F107</f>
        <v>0</v>
      </c>
      <c r="J101" s="588">
        <f t="shared" si="4"/>
        <v>0</v>
      </c>
      <c r="K101" s="585">
        <f>ROUNDUP(L101/40,0)</f>
        <v>0</v>
      </c>
      <c r="L101" s="696">
        <f>Титульный!G50+Титульный!G107</f>
        <v>0</v>
      </c>
    </row>
    <row r="102" spans="1:12" s="331" customFormat="1" ht="27.75" customHeight="1" x14ac:dyDescent="0.2">
      <c r="A102" s="457"/>
      <c r="B102" s="458"/>
      <c r="C102" s="595" t="s">
        <v>611</v>
      </c>
      <c r="D102" s="519" t="s">
        <v>462</v>
      </c>
      <c r="E102" s="520" t="s">
        <v>462</v>
      </c>
      <c r="F102" s="700">
        <f>SUM(F98:F101)</f>
        <v>3000</v>
      </c>
      <c r="G102" s="519" t="s">
        <v>462</v>
      </c>
      <c r="H102" s="520" t="s">
        <v>462</v>
      </c>
      <c r="I102" s="700">
        <f>SUM(I98:I101)</f>
        <v>3000</v>
      </c>
      <c r="J102" s="521" t="s">
        <v>462</v>
      </c>
      <c r="K102" s="520" t="s">
        <v>462</v>
      </c>
      <c r="L102" s="700">
        <f>SUM(L98:L101)</f>
        <v>3000</v>
      </c>
    </row>
    <row r="103" spans="1:12" s="331" customFormat="1" x14ac:dyDescent="0.2">
      <c r="B103" s="348"/>
    </row>
    <row r="104" spans="1:12" s="449" customFormat="1" ht="36" customHeight="1" x14ac:dyDescent="0.2">
      <c r="A104" s="989" t="s">
        <v>782</v>
      </c>
      <c r="B104" s="989"/>
      <c r="C104" s="989"/>
      <c r="D104" s="989"/>
      <c r="E104" s="989"/>
      <c r="F104" s="989"/>
      <c r="G104" s="989"/>
      <c r="H104" s="989"/>
      <c r="I104" s="989"/>
      <c r="J104" s="989"/>
      <c r="K104" s="989"/>
      <c r="L104" s="989"/>
    </row>
    <row r="105" spans="1:12" s="331" customFormat="1" x14ac:dyDescent="0.2">
      <c r="B105" s="348"/>
    </row>
    <row r="106" spans="1:12" s="331" customFormat="1" ht="15.75" x14ac:dyDescent="0.2">
      <c r="A106" s="1034" t="s">
        <v>598</v>
      </c>
      <c r="B106" s="1000" t="s">
        <v>484</v>
      </c>
      <c r="C106" s="1169" t="s">
        <v>610</v>
      </c>
      <c r="D106" s="1216" t="s">
        <v>761</v>
      </c>
      <c r="E106" s="1216"/>
      <c r="F106" s="1216"/>
      <c r="G106" s="1216"/>
      <c r="H106" s="1216"/>
      <c r="I106" s="1216"/>
      <c r="J106" s="1216"/>
      <c r="K106" s="1216"/>
      <c r="L106" s="1217"/>
    </row>
    <row r="107" spans="1:12" s="331" customFormat="1" ht="33.75" customHeight="1" x14ac:dyDescent="0.25">
      <c r="A107" s="1035"/>
      <c r="B107" s="1036"/>
      <c r="C107" s="1219"/>
      <c r="D107" s="1227" t="s">
        <v>831</v>
      </c>
      <c r="E107" s="1227"/>
      <c r="F107" s="1227"/>
      <c r="G107" s="1225" t="s">
        <v>825</v>
      </c>
      <c r="H107" s="1225"/>
      <c r="I107" s="1225"/>
      <c r="J107" s="1225" t="s">
        <v>823</v>
      </c>
      <c r="K107" s="1225"/>
      <c r="L107" s="1226"/>
    </row>
    <row r="108" spans="1:12" s="374" customFormat="1" x14ac:dyDescent="0.2">
      <c r="A108" s="383" t="s">
        <v>6</v>
      </c>
      <c r="B108" s="744" t="s">
        <v>7</v>
      </c>
      <c r="C108" s="436" t="s">
        <v>8</v>
      </c>
      <c r="D108" s="1228">
        <v>4</v>
      </c>
      <c r="E108" s="1228"/>
      <c r="F108" s="1228"/>
      <c r="G108" s="1114">
        <v>5</v>
      </c>
      <c r="H108" s="1114"/>
      <c r="I108" s="1114"/>
      <c r="J108" s="1114">
        <v>6</v>
      </c>
      <c r="K108" s="1114"/>
      <c r="L108" s="1115"/>
    </row>
    <row r="109" spans="1:12" s="331" customFormat="1" ht="27.75" customHeight="1" x14ac:dyDescent="0.2">
      <c r="A109" s="486" t="s">
        <v>125</v>
      </c>
      <c r="B109" s="491" t="s">
        <v>6</v>
      </c>
      <c r="C109" s="487" t="s">
        <v>429</v>
      </c>
      <c r="D109" s="1229">
        <f>Титульный!E44</f>
        <v>0</v>
      </c>
      <c r="E109" s="1230"/>
      <c r="F109" s="1230"/>
      <c r="G109" s="1229">
        <f>Титульный!F44</f>
        <v>0</v>
      </c>
      <c r="H109" s="1230"/>
      <c r="I109" s="1230"/>
      <c r="J109" s="1229">
        <f>Титульный!G44</f>
        <v>0</v>
      </c>
      <c r="K109" s="1230"/>
      <c r="L109" s="1231"/>
    </row>
    <row r="110" spans="1:12" s="331" customFormat="1" ht="27.75" customHeight="1" x14ac:dyDescent="0.2">
      <c r="A110" s="452" t="s">
        <v>125</v>
      </c>
      <c r="B110" s="450">
        <v>2</v>
      </c>
      <c r="C110" s="479" t="s">
        <v>430</v>
      </c>
      <c r="D110" s="1232">
        <f>Титульный!E45</f>
        <v>500</v>
      </c>
      <c r="E110" s="1233"/>
      <c r="F110" s="1233"/>
      <c r="G110" s="1232">
        <f>Титульный!F45</f>
        <v>500</v>
      </c>
      <c r="H110" s="1233"/>
      <c r="I110" s="1233"/>
      <c r="J110" s="1232">
        <f>Титульный!G45</f>
        <v>500</v>
      </c>
      <c r="K110" s="1233"/>
      <c r="L110" s="1234"/>
    </row>
    <row r="111" spans="1:12" s="331" customFormat="1" ht="27.75" customHeight="1" x14ac:dyDescent="0.2">
      <c r="A111" s="594"/>
      <c r="B111" s="458"/>
      <c r="C111" s="569" t="s">
        <v>611</v>
      </c>
      <c r="D111" s="1223">
        <f>SUM(D109:F110)</f>
        <v>500</v>
      </c>
      <c r="E111" s="1224"/>
      <c r="F111" s="1224"/>
      <c r="G111" s="1223">
        <f t="shared" ref="G111" si="6">SUM(G109:I110)</f>
        <v>500</v>
      </c>
      <c r="H111" s="1224"/>
      <c r="I111" s="1224"/>
      <c r="J111" s="1235">
        <f t="shared" ref="J111" si="7">SUM(J109:L110)</f>
        <v>500</v>
      </c>
      <c r="K111" s="1236"/>
      <c r="L111" s="1237"/>
    </row>
  </sheetData>
  <mergeCells count="72">
    <mergeCell ref="A56:L56"/>
    <mergeCell ref="A58:L58"/>
    <mergeCell ref="A60:L60"/>
    <mergeCell ref="A71:K71"/>
    <mergeCell ref="A93:L93"/>
    <mergeCell ref="J73:L73"/>
    <mergeCell ref="A62:A63"/>
    <mergeCell ref="B62:B63"/>
    <mergeCell ref="C62:C63"/>
    <mergeCell ref="D62:F62"/>
    <mergeCell ref="G62:I62"/>
    <mergeCell ref="J62:L62"/>
    <mergeCell ref="A73:A74"/>
    <mergeCell ref="B73:B74"/>
    <mergeCell ref="C73:C74"/>
    <mergeCell ref="D73:F73"/>
    <mergeCell ref="G111:I111"/>
    <mergeCell ref="J107:L107"/>
    <mergeCell ref="G107:I107"/>
    <mergeCell ref="D106:L106"/>
    <mergeCell ref="D107:F107"/>
    <mergeCell ref="D108:F108"/>
    <mergeCell ref="G108:I108"/>
    <mergeCell ref="J108:L108"/>
    <mergeCell ref="J109:L109"/>
    <mergeCell ref="J110:L110"/>
    <mergeCell ref="J111:L111"/>
    <mergeCell ref="D109:F109"/>
    <mergeCell ref="D110:F110"/>
    <mergeCell ref="D111:F111"/>
    <mergeCell ref="G109:I109"/>
    <mergeCell ref="G110:I110"/>
    <mergeCell ref="A1:L1"/>
    <mergeCell ref="A2:L2"/>
    <mergeCell ref="A4:A5"/>
    <mergeCell ref="B4:B5"/>
    <mergeCell ref="C4:C5"/>
    <mergeCell ref="D4:F4"/>
    <mergeCell ref="G4:I4"/>
    <mergeCell ref="J4:L4"/>
    <mergeCell ref="G82:I82"/>
    <mergeCell ref="J46:L46"/>
    <mergeCell ref="A22:L22"/>
    <mergeCell ref="A24:A25"/>
    <mergeCell ref="B24:B25"/>
    <mergeCell ref="C24:C25"/>
    <mergeCell ref="D24:F24"/>
    <mergeCell ref="G24:I24"/>
    <mergeCell ref="J24:L24"/>
    <mergeCell ref="A46:A47"/>
    <mergeCell ref="B46:B47"/>
    <mergeCell ref="C46:C47"/>
    <mergeCell ref="D46:F46"/>
    <mergeCell ref="G46:I46"/>
    <mergeCell ref="A40:L40"/>
    <mergeCell ref="A44:L44"/>
    <mergeCell ref="J82:L82"/>
    <mergeCell ref="G73:I73"/>
    <mergeCell ref="G95:I95"/>
    <mergeCell ref="J95:L95"/>
    <mergeCell ref="A106:A107"/>
    <mergeCell ref="B106:B107"/>
    <mergeCell ref="C106:C107"/>
    <mergeCell ref="A95:A96"/>
    <mergeCell ref="B95:B96"/>
    <mergeCell ref="C95:C96"/>
    <mergeCell ref="D95:F95"/>
    <mergeCell ref="A104:L104"/>
    <mergeCell ref="A82:A83"/>
    <mergeCell ref="B82:B83"/>
    <mergeCell ref="C82:C83"/>
    <mergeCell ref="D82:F82"/>
  </mergeCells>
  <pageMargins left="0.19685039370078741" right="0.19685039370078741" top="0.74803149606299213" bottom="0.19685039370078741" header="0.31496062992125984" footer="0.31496062992125984"/>
  <pageSetup paperSize="9" scale="64" orientation="landscape" r:id="rId1"/>
  <rowBreaks count="2" manualBreakCount="2">
    <brk id="18" max="11" man="1"/>
    <brk id="4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12</vt:i4>
      </vt:variant>
    </vt:vector>
  </HeadingPairs>
  <TitlesOfParts>
    <vt:vector size="27" baseType="lpstr">
      <vt:lpstr>Титульный</vt:lpstr>
      <vt:lpstr>1</vt:lpstr>
      <vt:lpstr>2</vt:lpstr>
      <vt:lpstr>3-1</vt:lpstr>
      <vt:lpstr>3-2</vt:lpstr>
      <vt:lpstr>Доходы</vt:lpstr>
      <vt:lpstr>Расходы 111</vt:lpstr>
      <vt:lpstr>Расходы 112</vt:lpstr>
      <vt:lpstr>Расходы 119 и проч</vt:lpstr>
      <vt:lpstr>Расходы КФО 2</vt:lpstr>
      <vt:lpstr>Расходы КФО 4</vt:lpstr>
      <vt:lpstr>Расходы КФО 5</vt:lpstr>
      <vt:lpstr>Расходы 400</vt:lpstr>
      <vt:lpstr>Проверочная таблица</vt:lpstr>
      <vt:lpstr>ИСПРАВЛЕНИЯ</vt:lpstr>
      <vt:lpstr>'1'!Область_печати</vt:lpstr>
      <vt:lpstr>'2'!Область_печати</vt:lpstr>
      <vt:lpstr>'3-1'!Область_печати</vt:lpstr>
      <vt:lpstr>'3-2'!Область_печати</vt:lpstr>
      <vt:lpstr>Доходы!Область_печати</vt:lpstr>
      <vt:lpstr>'Расходы 111'!Область_печати</vt:lpstr>
      <vt:lpstr>'Расходы 112'!Область_печати</vt:lpstr>
      <vt:lpstr>'Расходы 119 и проч'!Область_печати</vt:lpstr>
      <vt:lpstr>'Расходы КФО 2'!Область_печати</vt:lpstr>
      <vt:lpstr>'Расходы КФО 4'!Область_печати</vt:lpstr>
      <vt:lpstr>'Расходы КФО 5'!Область_печати</vt:lpstr>
      <vt:lpstr>Титульный!Область_печати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Сергей</cp:lastModifiedBy>
  <cp:lastPrinted>2020-05-15T13:17:51Z</cp:lastPrinted>
  <dcterms:created xsi:type="dcterms:W3CDTF">2011-01-11T10:25:48Z</dcterms:created>
  <dcterms:modified xsi:type="dcterms:W3CDTF">2021-02-06T07:11:36Z</dcterms:modified>
</cp:coreProperties>
</file>